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66" windowWidth="9600" windowHeight="12015" tabRatio="923" activeTab="2"/>
  </bookViews>
  <sheets>
    <sheet name="Tips" sheetId="1" r:id="rId1"/>
    <sheet name="Column Descriptions" sheetId="2" r:id="rId2"/>
    <sheet name="District A" sheetId="3" r:id="rId3"/>
    <sheet name="District B" sheetId="4" r:id="rId4"/>
    <sheet name="District C" sheetId="5" r:id="rId5"/>
    <sheet name="District D" sheetId="6" r:id="rId6"/>
    <sheet name="District E" sheetId="7" r:id="rId7"/>
    <sheet name="District F" sheetId="8" r:id="rId8"/>
    <sheet name="District G" sheetId="9" r:id="rId9"/>
    <sheet name="District H" sheetId="10" r:id="rId10"/>
    <sheet name="District I" sheetId="11" r:id="rId11"/>
    <sheet name="District J" sheetId="12" r:id="rId12"/>
    <sheet name="Summary " sheetId="13" r:id="rId13"/>
    <sheet name="Region 13-o" sheetId="14" state="hidden" r:id="rId14"/>
  </sheets>
  <definedNames>
    <definedName name="glance" localSheetId="12">'Summary '!#REF!</definedName>
    <definedName name="glance">#REF!</definedName>
    <definedName name="_xlnm.Print_Area" localSheetId="2">'District A'!$A$1:$L$65</definedName>
    <definedName name="_xlnm.Print_Area" localSheetId="3">'District B'!$A$1:$L$48</definedName>
    <definedName name="_xlnm.Print_Area" localSheetId="4">'District C'!$A$1:$L$75</definedName>
    <definedName name="_xlnm.Print_Area" localSheetId="5">'District D'!$A$1:$L$58</definedName>
    <definedName name="_xlnm.Print_Area" localSheetId="6">'District E'!$A$1:$L$63</definedName>
    <definedName name="_xlnm.Print_Area" localSheetId="7">'District F'!$A$1:$L$62</definedName>
    <definedName name="_xlnm.Print_Area" localSheetId="8">'District G'!$A$1:$L$47</definedName>
    <definedName name="_xlnm.Print_Area" localSheetId="9">'District H'!$A$1:$L$61</definedName>
    <definedName name="_xlnm.Print_Area" localSheetId="10">'District I'!$A$1:$L$62</definedName>
    <definedName name="_xlnm.Print_Area" localSheetId="11">'District J'!$A$1:$L$56</definedName>
    <definedName name="_xlnm.Print_Area" localSheetId="12">'Summary '!$A$1:$K$45</definedName>
  </definedNames>
  <calcPr fullCalcOnLoad="1"/>
</workbook>
</file>

<file path=xl/sharedStrings.xml><?xml version="1.0" encoding="utf-8"?>
<sst xmlns="http://schemas.openxmlformats.org/spreadsheetml/2006/main" count="1132" uniqueCount="695">
  <si>
    <t xml:space="preserve">  -  This file contains the Monthly Activity Report in electronic form.</t>
  </si>
  <si>
    <t xml:space="preserve">  -  This workbook has more tabs/worksheets than are currently displayed.</t>
  </si>
  <si>
    <t>(The scroll bars can be found to the left of the first worksheet entitled tips)</t>
  </si>
  <si>
    <t xml:space="preserve">  -  The arrow with the right vertical line will bring to you the last far right worksheet (summary).</t>
  </si>
  <si>
    <t>If you have any further questions, feel free to contact Linda Wong</t>
  </si>
  <si>
    <t>212-591-8235 or send an e-mail to wongl@asme.org</t>
  </si>
  <si>
    <t>% OF N.M. QUOTA</t>
  </si>
  <si>
    <t>QUOTA</t>
  </si>
  <si>
    <t>NEW MBRS PAID</t>
  </si>
  <si>
    <t>PAID A.U.</t>
  </si>
  <si>
    <t>BACK TO S</t>
  </si>
  <si>
    <t>CURRENT MONTH REMAINING DROPS</t>
  </si>
  <si>
    <t>MEMBERS NOT YET RENEWED</t>
  </si>
  <si>
    <t>RENEWALS</t>
  </si>
  <si>
    <t>CURRENT MBRSHIP</t>
  </si>
  <si>
    <t>------</t>
  </si>
  <si>
    <t>-----</t>
  </si>
  <si>
    <t>-------</t>
  </si>
  <si>
    <t>MEMBER ANNUAL BILLING NUMBER</t>
  </si>
  <si>
    <t>Member, Reinstatements</t>
  </si>
  <si>
    <t>Member, Renewal/Reinstate (%)</t>
  </si>
  <si>
    <t>Member Reinstatements Prior to Drop Date</t>
  </si>
  <si>
    <t>Member, Paid New</t>
  </si>
  <si>
    <t>Member, Paid Automatic Upgrades</t>
  </si>
  <si>
    <t>STUDENT BILLING NUMBER</t>
  </si>
  <si>
    <t>Paid New Students/Previous Yr Reinstates</t>
  </si>
  <si>
    <t>Paid Student Renewals/Current Yr Reinstates</t>
  </si>
  <si>
    <t>Total Paid Students</t>
  </si>
  <si>
    <t>Total Paid Membership</t>
  </si>
  <si>
    <t>SECTIONS</t>
  </si>
  <si>
    <t xml:space="preserve">  YTD02 Membership offered to qualifying PD/Conference attendees from 030900 &amp; 031500 - 6/30/02.</t>
  </si>
  <si>
    <t xml:space="preserve">  YTD02 Membership offered to qualifying PD/Conference attendees from 030600 &amp; 031200 - 4/30/02.</t>
  </si>
  <si>
    <t xml:space="preserve">  YTD02 Membership offered to PD Incompany training program attendees for 030300 &amp; 031300 - 8/31/01.</t>
  </si>
  <si>
    <t>YTD00 Delmarva (030501) is now a Subsection of Delaware (030500) to appear on December month end report.</t>
  </si>
  <si>
    <t xml:space="preserve"> </t>
  </si>
  <si>
    <t>REGION: 13-FOREIGN/OUT OF SECTIONS</t>
  </si>
  <si>
    <t>13C1XX-EGYPT</t>
  </si>
  <si>
    <t>13C3XX-NIGERIA</t>
  </si>
  <si>
    <t>13D3XX-JORDAN</t>
  </si>
  <si>
    <t>13E3XX-PEOPLES REPUBLIC OF</t>
  </si>
  <si>
    <t>13E510-HONG KONG</t>
  </si>
  <si>
    <t>13E610-INDIA</t>
  </si>
  <si>
    <t>13E7XX-INDONESIA</t>
  </si>
  <si>
    <t>13F110-ISRAEL</t>
  </si>
  <si>
    <t>13F210-JAPAN</t>
  </si>
  <si>
    <t>13F310-SOUTH KOREA</t>
  </si>
  <si>
    <t>13F4XX-LEBANON</t>
  </si>
  <si>
    <t>13F5XX-MALAYSIA</t>
  </si>
  <si>
    <t>13F6XX-BANGLADESH</t>
  </si>
  <si>
    <t>13F7XX-PHILIPPINES</t>
  </si>
  <si>
    <t>13F810-CENT.&amp; WEST. SAUDI A</t>
  </si>
  <si>
    <t>13F820-EASTERN SAUDI ARABIA</t>
  </si>
  <si>
    <t>13F9XX-THAILAND</t>
  </si>
  <si>
    <t>13G110-SINGAPORE</t>
  </si>
  <si>
    <t>13G2XX-BAHRAIN</t>
  </si>
  <si>
    <t>13G410-KUWAIT</t>
  </si>
  <si>
    <t>13H110-AUSTRALIA</t>
  </si>
  <si>
    <t>13H2XX-NEW ZEALAND</t>
  </si>
  <si>
    <t>13H3XX-UNITED ARAB EMIRATES</t>
  </si>
  <si>
    <t>13H8XX-RUSSIA</t>
  </si>
  <si>
    <t>13J1XX-SLOVENIA</t>
  </si>
  <si>
    <t>13J2XX-CZECH REPUBLIC</t>
  </si>
  <si>
    <t>13J3XX-SLOVAKIA</t>
  </si>
  <si>
    <t>13K610-FRANCE</t>
  </si>
  <si>
    <t>13K7XX-FEDERAL REPUBLIC OF</t>
  </si>
  <si>
    <t>13L210-GREECE</t>
  </si>
  <si>
    <t>13L5XX-ITALY</t>
  </si>
  <si>
    <t>13L9XX-PORTUGAL</t>
  </si>
  <si>
    <t>13M1XX-SPAIN</t>
  </si>
  <si>
    <t>13M310-SWITZERLAND</t>
  </si>
  <si>
    <t>13M410-TURKEY</t>
  </si>
  <si>
    <t>13N1XX-YUGOSLAVIA</t>
  </si>
  <si>
    <t>13N310-PAKISTAN</t>
  </si>
  <si>
    <t>13N4XX-ROMANIA</t>
  </si>
  <si>
    <t>13N6XX-SOUTH AFRICA</t>
  </si>
  <si>
    <t>13P3XX-OMAN</t>
  </si>
  <si>
    <t>13P4XX-NORTH AFRICA/MOROCCO</t>
  </si>
  <si>
    <t>13P9XX-HUNGARY</t>
  </si>
  <si>
    <t>13UK10-UNITED KINGDOM</t>
  </si>
  <si>
    <t>13W4XX-UKRAINE</t>
  </si>
  <si>
    <t>137501-VENEZUELA</t>
  </si>
  <si>
    <t>137502-TRINIDAD &amp; TOBAGO</t>
  </si>
  <si>
    <t>137503-ARGENTINA</t>
  </si>
  <si>
    <t>139999-OUTSIDE OF NORTH AME</t>
  </si>
  <si>
    <t>REGION 13 TOTALS</t>
  </si>
  <si>
    <t>13A1XX, 137501, 137502, 137503 = International Groups</t>
  </si>
  <si>
    <t>XX signifies Group</t>
  </si>
  <si>
    <t>13E510 &amp; 13F820 = International Sections</t>
  </si>
  <si>
    <t>10 &amp; 20 signifies Section</t>
  </si>
  <si>
    <t>Region 13 Total Paid Members</t>
  </si>
  <si>
    <t xml:space="preserve">YTD 01 Latin America &amp; Carib (137510) - Virgin Islands Members reassigned to </t>
  </si>
  <si>
    <t>Puerto Rico (020600)</t>
  </si>
  <si>
    <t xml:space="preserve">YTD 00 Argentina (137503) is now a Group of Latin America &amp; </t>
  </si>
  <si>
    <t>Carribean to appear December end of month report</t>
  </si>
  <si>
    <t>----- -</t>
  </si>
  <si>
    <t>----</t>
  </si>
  <si>
    <t>IN SECTION TOTALS</t>
  </si>
  <si>
    <t>0X-OUT OF SECTIONS</t>
  </si>
  <si>
    <t>=====</t>
  </si>
  <si>
    <t>=======</t>
  </si>
  <si>
    <t>GRAND TOTAL</t>
  </si>
  <si>
    <t>YTD '00</t>
  </si>
  <si>
    <t>MDC REPORT 9/30/00</t>
  </si>
  <si>
    <t>REIN REC'D</t>
  </si>
  <si>
    <t>7/1/00 A.U.</t>
  </si>
  <si>
    <t>7/1/00 MEMBERS</t>
  </si>
  <si>
    <t>RNWL%</t>
  </si>
  <si>
    <t>--------</t>
  </si>
  <si>
    <t>13D6XX-EAST AFRICA</t>
  </si>
  <si>
    <t>13D9XX-TAIWAN ROC</t>
  </si>
  <si>
    <t>13K4XX-NORDIC</t>
  </si>
  <si>
    <t>13L6XX-CENBENELUX</t>
  </si>
  <si>
    <t>137510-LATIN AMERICA &amp; CARI</t>
  </si>
  <si>
    <t>Member, Renewals (00/01)</t>
  </si>
  <si>
    <t>Total New Members paid.</t>
  </si>
  <si>
    <t>This number reflects the total number of Automatic Upgrades who have not yet renewed as of the report date.</t>
  </si>
  <si>
    <t>This number reflects the total number of members who have not yet renewed as of the report date.</t>
  </si>
  <si>
    <t>YEAR TO DATE DATA COLUMNS</t>
  </si>
  <si>
    <t>Member Annual Billing Number</t>
  </si>
  <si>
    <t>Member Renewals</t>
  </si>
  <si>
    <t>Member Renewal/Reinstate (%)</t>
  </si>
  <si>
    <t>Member, Paid AUs</t>
  </si>
  <si>
    <t>Total Paid Members</t>
  </si>
  <si>
    <t>Student Billing Number</t>
  </si>
  <si>
    <t>Paid New Students/Previous Year Reinstates</t>
  </si>
  <si>
    <t>New students plus students from previous years that are counted as new</t>
  </si>
  <si>
    <t>Paid Students Renewals/Current Year Reinstates</t>
  </si>
  <si>
    <t>Student renewals and reinstatements</t>
  </si>
  <si>
    <t>Student Renewals/Reinstatements/New = Total Paid Students</t>
  </si>
  <si>
    <t>Totals of student renewals, reinstatements and new student members</t>
  </si>
  <si>
    <t xml:space="preserve">Total Paid Membership - </t>
  </si>
  <si>
    <t>Total members plus student members</t>
  </si>
  <si>
    <t xml:space="preserve">       YTD03 Appearing under YTD03 -  Member Renewals incorrectly included unpaid automatic upgrades in the count - 11/02</t>
  </si>
  <si>
    <t xml:space="preserve">       YTD03 Current Membership Column includes all automatic upgrades - 11/02</t>
  </si>
  <si>
    <t xml:space="preserve">Total active membership at the beginning of the new program year, after the dues delinquent members for the  </t>
  </si>
  <si>
    <t>previous year have been dropped.</t>
  </si>
  <si>
    <t>MEMBERSHIP ACTIVITY REPORT  DESCRIPTION OF COLUMNS</t>
  </si>
  <si>
    <t>#,*,##,** Does not reflect drops or unpaids from previous years, Column 5,6,7,8 alternates</t>
  </si>
  <si>
    <t>DISTRICT A TOTALS</t>
  </si>
  <si>
    <t>District A Total  Paid Members</t>
  </si>
  <si>
    <t>DISTRICT B TOTALS</t>
  </si>
  <si>
    <t>District B Total  Paid Members</t>
  </si>
  <si>
    <t>District C Total Paid Members</t>
  </si>
  <si>
    <t>District D Total Paid Members</t>
  </si>
  <si>
    <t>District E Total Paid Members</t>
  </si>
  <si>
    <t>District F Total Paid Members</t>
  </si>
  <si>
    <t>District G Total Paid Members</t>
  </si>
  <si>
    <t>District H Total Paid Members</t>
  </si>
  <si>
    <t>District I Total Paid Members</t>
  </si>
  <si>
    <t>District J Total Paid Members</t>
  </si>
  <si>
    <t>DISTRICT: ALL-SUMMARY</t>
  </si>
  <si>
    <t>A -DISTRICT A</t>
  </si>
  <si>
    <t>B -DISTRICT B</t>
  </si>
  <si>
    <t>C -DISTRICT C</t>
  </si>
  <si>
    <t>D -DISTRICT D</t>
  </si>
  <si>
    <t>E -DISTRICT E</t>
  </si>
  <si>
    <t>F -DISTRICT F</t>
  </si>
  <si>
    <t>H -EUROPE</t>
  </si>
  <si>
    <t>J -MIDDLE EAST &amp; AFRICA</t>
  </si>
  <si>
    <t xml:space="preserve">  -  Districts A - J + Summary of all Districts corresponds to the assigned worksheets named as District A - District J &amp; Summary.</t>
  </si>
  <si>
    <t xml:space="preserve">  -  You will need to use your left/right scroll bars to locate your district.</t>
  </si>
  <si>
    <t xml:space="preserve">  -  The arrow with the left vertical line will bring to you the first far left worksheet (district A)</t>
  </si>
  <si>
    <t xml:space="preserve">  -  The two arrows in the middle allows you to scroll through each district.</t>
  </si>
  <si>
    <t>DISTRICT F SECTIONS</t>
  </si>
  <si>
    <t>DISTRICT E SECTIONS</t>
  </si>
  <si>
    <t>DISTRICT D SECTIONS</t>
  </si>
  <si>
    <t>DISTRICT C SECTIONS</t>
  </si>
  <si>
    <t>DISTRICT B SECTIONS</t>
  </si>
  <si>
    <t>DISTRICT A SECTIONS</t>
  </si>
  <si>
    <t>DISTRICT G - ASIA &amp; THE PACIFIC RIM SECTIONS</t>
  </si>
  <si>
    <t>DISTRICT H - EUROPE SECTIONS</t>
  </si>
  <si>
    <t>DISTRICT I - LATIN AMERICA &amp; CARIBBEAN SECTIONS</t>
  </si>
  <si>
    <t>DISTRICT J - MIDDLE EAST &amp; AFRICA SECTIONS</t>
  </si>
  <si>
    <t>13A1XX, 137501, 137502, 137503, 137504, 137505, 137506 = International Groups</t>
  </si>
  <si>
    <t xml:space="preserve">   </t>
  </si>
  <si>
    <t>DISTRICT  C  TOTALS</t>
  </si>
  <si>
    <t>DISTRICT  D  TOTALS</t>
  </si>
  <si>
    <t>DISTRICT  E  TOTALS</t>
  </si>
  <si>
    <t>DISTRICT  F  TOTALS</t>
  </si>
  <si>
    <t>DISTRICT  G  TOTALS</t>
  </si>
  <si>
    <t>DISTRICT  J  TOTALS</t>
  </si>
  <si>
    <t>DISTRICT  I  TOTALS</t>
  </si>
  <si>
    <t>DISTRICT  H  TOTALS</t>
  </si>
  <si>
    <t>-----  -</t>
  </si>
  <si>
    <t>=====  =</t>
  </si>
  <si>
    <t>====</t>
  </si>
  <si>
    <t>Renewal/
Reinstate %</t>
  </si>
  <si>
    <t>Unpaid
Members</t>
  </si>
  <si>
    <t>Paid
AU'S</t>
  </si>
  <si>
    <t>Unpaid
AU'S</t>
  </si>
  <si>
    <t>Section</t>
  </si>
  <si>
    <t>Code</t>
  </si>
  <si>
    <t>13H110</t>
  </si>
  <si>
    <t>13F6XX</t>
  </si>
  <si>
    <t>13P7XX</t>
  </si>
  <si>
    <t>13E3XX</t>
  </si>
  <si>
    <t>13G7XX</t>
  </si>
  <si>
    <t>13E510</t>
  </si>
  <si>
    <t>13E610</t>
  </si>
  <si>
    <t>13E7XX</t>
  </si>
  <si>
    <t>13F210</t>
  </si>
  <si>
    <t>13F5XX</t>
  </si>
  <si>
    <t>13H4XX</t>
  </si>
  <si>
    <t>13H2XX</t>
  </si>
  <si>
    <t>13N310</t>
  </si>
  <si>
    <t>13T5XX</t>
  </si>
  <si>
    <t>13G110</t>
  </si>
  <si>
    <t>13F310</t>
  </si>
  <si>
    <t>13E2XX</t>
  </si>
  <si>
    <t>13D910</t>
  </si>
  <si>
    <t>13F9XX</t>
  </si>
  <si>
    <t>13G6XX</t>
  </si>
  <si>
    <t>13K1XX</t>
  </si>
  <si>
    <t>13K2XX</t>
  </si>
  <si>
    <t>13Q7XX</t>
  </si>
  <si>
    <t>13J5XX</t>
  </si>
  <si>
    <t>13E4XX</t>
  </si>
  <si>
    <t>13J2XX</t>
  </si>
  <si>
    <t>13K4XX</t>
  </si>
  <si>
    <t>13K7XX</t>
  </si>
  <si>
    <t>13K5XX</t>
  </si>
  <si>
    <t>13K610</t>
  </si>
  <si>
    <t>13S4XX</t>
  </si>
  <si>
    <t>13L210</t>
  </si>
  <si>
    <t>13P9XX</t>
  </si>
  <si>
    <t>13L4XX</t>
  </si>
  <si>
    <t>13F110</t>
  </si>
  <si>
    <t>13L5XX</t>
  </si>
  <si>
    <t>13T3XX</t>
  </si>
  <si>
    <t>13W3XX</t>
  </si>
  <si>
    <t>13N5XX</t>
  </si>
  <si>
    <t>13D4XX</t>
  </si>
  <si>
    <t>13L6XX</t>
  </si>
  <si>
    <t>13L7XX</t>
  </si>
  <si>
    <t>13L8XX</t>
  </si>
  <si>
    <t>13L9XX</t>
  </si>
  <si>
    <t>13N4XX</t>
  </si>
  <si>
    <t>13H8XX</t>
  </si>
  <si>
    <t>13J7XX</t>
  </si>
  <si>
    <t>13J3XX</t>
  </si>
  <si>
    <t>13J1XX</t>
  </si>
  <si>
    <t>13M1XX</t>
  </si>
  <si>
    <t>13M2XX</t>
  </si>
  <si>
    <t>13M310</t>
  </si>
  <si>
    <t>13M410</t>
  </si>
  <si>
    <t>13W4XX</t>
  </si>
  <si>
    <t>13UK10</t>
  </si>
  <si>
    <t>13N1XX</t>
  </si>
  <si>
    <t>1371XX</t>
  </si>
  <si>
    <t>1376XX</t>
  </si>
  <si>
    <t>1377XX</t>
  </si>
  <si>
    <t>1370XX</t>
  </si>
  <si>
    <t>13A2XX</t>
  </si>
  <si>
    <t>13A3XX</t>
  </si>
  <si>
    <t>13A4XX</t>
  </si>
  <si>
    <t>1380XX</t>
  </si>
  <si>
    <t>13P6XX</t>
  </si>
  <si>
    <t>1372XX</t>
  </si>
  <si>
    <t>1381XX</t>
  </si>
  <si>
    <t>1382XX</t>
  </si>
  <si>
    <t>13B5XX</t>
  </si>
  <si>
    <t>1385XX</t>
  </si>
  <si>
    <t>1374XX</t>
  </si>
  <si>
    <t>1383XX</t>
  </si>
  <si>
    <t>1384XX</t>
  </si>
  <si>
    <t>13B4XX</t>
  </si>
  <si>
    <t>13A7XX</t>
  </si>
  <si>
    <t>1363XX</t>
  </si>
  <si>
    <t>13G2XX</t>
  </si>
  <si>
    <t>13Q6XX</t>
  </si>
  <si>
    <t>13Q9XX</t>
  </si>
  <si>
    <t>13C1XX</t>
  </si>
  <si>
    <t>13B6XX</t>
  </si>
  <si>
    <t>13C7XX</t>
  </si>
  <si>
    <t>13E8XX</t>
  </si>
  <si>
    <t>13E9XX</t>
  </si>
  <si>
    <t>13D3XX</t>
  </si>
  <si>
    <t>13B7XX</t>
  </si>
  <si>
    <t>13G410</t>
  </si>
  <si>
    <t>13F4XX</t>
  </si>
  <si>
    <t>13C6XX</t>
  </si>
  <si>
    <t>13C310</t>
  </si>
  <si>
    <t>13P4XX</t>
  </si>
  <si>
    <t>13P3XX</t>
  </si>
  <si>
    <t>13D7XX</t>
  </si>
  <si>
    <t>13N6XX</t>
  </si>
  <si>
    <t>13C5XX</t>
  </si>
  <si>
    <t>13D2XX</t>
  </si>
  <si>
    <t>13D1XX</t>
  </si>
  <si>
    <t>13U6XX</t>
  </si>
  <si>
    <t>13D6XX</t>
  </si>
  <si>
    <t>13H3XX</t>
  </si>
  <si>
    <t>13C8XX</t>
  </si>
  <si>
    <t>13A9XX</t>
  </si>
  <si>
    <r>
      <t xml:space="preserve">Column 11#:  Unpaid Aus who have not yet renewed </t>
    </r>
    <r>
      <rPr>
        <i/>
        <u val="single"/>
        <sz val="8"/>
        <rFont val="Book Antiqua"/>
        <family val="1"/>
      </rPr>
      <t>- Appears in July - January reports.</t>
    </r>
  </si>
  <si>
    <r>
      <t xml:space="preserve">Column 6##:  Current Month Remaining Drops </t>
    </r>
    <r>
      <rPr>
        <b/>
        <i/>
        <u val="single"/>
        <sz val="8"/>
        <rFont val="Book Antiqua"/>
        <family val="1"/>
      </rPr>
      <t>- Appears in January - June reports</t>
    </r>
  </si>
  <si>
    <r>
      <t xml:space="preserve">Column 6**:  Members who have not yet renewed  - </t>
    </r>
    <r>
      <rPr>
        <b/>
        <i/>
        <u val="single"/>
        <sz val="8"/>
        <rFont val="Book Antiqua"/>
        <family val="1"/>
      </rPr>
      <t>Appears in January – June  reports</t>
    </r>
  </si>
  <si>
    <t>This fixed number reflects the total number of members dropped on 1/31/09.</t>
  </si>
  <si>
    <t>Number of Members dropped 1/31/09 and still unpaid as of report date.  After June, current drops are removed from report because of year end reset.  Column reflects number of dropped members yet to be paid.</t>
  </si>
  <si>
    <t>Column 2: Renewals</t>
  </si>
  <si>
    <t>Once members are dropped on 1/31, unpaid members are no longer considered active members.</t>
  </si>
  <si>
    <t>Student summary information available in coming months:</t>
  </si>
  <si>
    <t>Renewals, all reinstatements, new members and paid AUs</t>
  </si>
  <si>
    <t>G -ASIA &amp; THE PACIFIC RIM</t>
  </si>
  <si>
    <t>I -LATIN AMERICA&amp;CARIBBEAN</t>
  </si>
  <si>
    <t>Renewals</t>
  </si>
  <si>
    <t>New Members</t>
  </si>
  <si>
    <t>Reinstates are members who paid after they have dropped on 1/31.</t>
  </si>
  <si>
    <t>Current Membership Total / Active Membership = Renewals, Reinstatements (curr &amp; prev), Unpaid Mbrs, New Mbrs, Paid AU's &amp; Unpaid AU's.</t>
  </si>
  <si>
    <t>Total active membership does not include dropped members.</t>
  </si>
  <si>
    <t>* Adjustment - discrepancy in TIMSS to be resolved in coming months.</t>
  </si>
  <si>
    <t>Heart of Texas Group</t>
  </si>
  <si>
    <t>N E Mississippi Group</t>
  </si>
  <si>
    <t>Texas Gulf Coast Group</t>
  </si>
  <si>
    <t>United Arab Emirates</t>
  </si>
  <si>
    <t>Delmarva Subsection</t>
  </si>
  <si>
    <t>Subtotal</t>
  </si>
  <si>
    <t>13F7XX</t>
  </si>
  <si>
    <t>13C4XX</t>
  </si>
  <si>
    <t>1360XX</t>
  </si>
  <si>
    <t>13Q3XX</t>
  </si>
  <si>
    <t>Anthracite-Lehigh Valley Section</t>
  </si>
  <si>
    <t>Baltimore Section</t>
  </si>
  <si>
    <t>Bergen Passaic Section</t>
  </si>
  <si>
    <t>Boston Section</t>
  </si>
  <si>
    <t>Buffalo Section</t>
  </si>
  <si>
    <t>Central Pennsylvania Section</t>
  </si>
  <si>
    <t>Delaware Section</t>
  </si>
  <si>
    <t>Essex Hudson Section</t>
  </si>
  <si>
    <t>Fairfield County Section</t>
  </si>
  <si>
    <t>Greater Trenton Section</t>
  </si>
  <si>
    <t>Green Mountain Section</t>
  </si>
  <si>
    <t>Hartford Section</t>
  </si>
  <si>
    <t>Hudson Mohawk Section</t>
  </si>
  <si>
    <t>Jersey Shore Section</t>
  </si>
  <si>
    <t>Long Island Section</t>
  </si>
  <si>
    <t>Metropolitan Section</t>
  </si>
  <si>
    <t>Mid Hudson Section</t>
  </si>
  <si>
    <t>Mid Jersey Section</t>
  </si>
  <si>
    <t>Mohawk Valley Section</t>
  </si>
  <si>
    <t>Morris Sussex Section</t>
  </si>
  <si>
    <t>New Haven Section</t>
  </si>
  <si>
    <t>New London Section</t>
  </si>
  <si>
    <t>Northern New England Section</t>
  </si>
  <si>
    <t>Olean Section</t>
  </si>
  <si>
    <t>Philadelphia Section</t>
  </si>
  <si>
    <t>Providence Section</t>
  </si>
  <si>
    <t>Puerto Rico Section</t>
  </si>
  <si>
    <t>Quebec Section</t>
  </si>
  <si>
    <t>Rochester Section</t>
  </si>
  <si>
    <t>Southern Tier Section</t>
  </si>
  <si>
    <t>Susquehanna Section</t>
  </si>
  <si>
    <t>SW Puerto Rico Section</t>
  </si>
  <si>
    <t>Syracuse Section</t>
  </si>
  <si>
    <t>Upper Valley Section</t>
  </si>
  <si>
    <t>Washington DC Section</t>
  </si>
  <si>
    <t>Westchester County Section</t>
  </si>
  <si>
    <t>Western Massachusetts Section</t>
  </si>
  <si>
    <t>Worcester Section</t>
  </si>
  <si>
    <t>Akron Section</t>
  </si>
  <si>
    <t>Canton-All-Mass Section</t>
  </si>
  <si>
    <t>Central Michigan Section</t>
  </si>
  <si>
    <t>Central Ohio Section</t>
  </si>
  <si>
    <t>Cincinnati Section</t>
  </si>
  <si>
    <t>Cleveland Section</t>
  </si>
  <si>
    <t>Dayton Section</t>
  </si>
  <si>
    <t>Erie Section</t>
  </si>
  <si>
    <t>NW Ohio Section</t>
  </si>
  <si>
    <t>Ontario Section</t>
  </si>
  <si>
    <t>Pittsburgh Section</t>
  </si>
  <si>
    <t>Saginaw Valley Section</t>
  </si>
  <si>
    <t>Tri-State Section</t>
  </si>
  <si>
    <t>West Michigan Section</t>
  </si>
  <si>
    <t>West Virginia Section</t>
  </si>
  <si>
    <t>Youngstown Section</t>
  </si>
  <si>
    <t>Bluegrass Section</t>
  </si>
  <si>
    <t>Central Illinois Section</t>
  </si>
  <si>
    <t>Central Indiana Section</t>
  </si>
  <si>
    <t>Central Iowa Section</t>
  </si>
  <si>
    <t>Central Kansas Section</t>
  </si>
  <si>
    <t>Chicago Section</t>
  </si>
  <si>
    <t>Evansville Section</t>
  </si>
  <si>
    <t>Fort Wayne Section</t>
  </si>
  <si>
    <t>Fox Valley Section</t>
  </si>
  <si>
    <t>Iowa Illinois Section</t>
  </si>
  <si>
    <t>Kansas City Section</t>
  </si>
  <si>
    <t>La Crosse Section</t>
  </si>
  <si>
    <t>Louisville Section</t>
  </si>
  <si>
    <t>Milwaukee Section</t>
  </si>
  <si>
    <t>Minnesota Section</t>
  </si>
  <si>
    <t>Muscatine Section</t>
  </si>
  <si>
    <t>Nebraska Section</t>
  </si>
  <si>
    <t>Northeast Iowa Section</t>
  </si>
  <si>
    <t>Northeast Wisconsin Subsection</t>
  </si>
  <si>
    <t>Northland Group Section</t>
  </si>
  <si>
    <t>Paducah Section</t>
  </si>
  <si>
    <t>Red River Section</t>
  </si>
  <si>
    <t>Rock River Valley Section</t>
  </si>
  <si>
    <t>Sioux Valley Section</t>
  </si>
  <si>
    <t>South Central Minnesota Subsection</t>
  </si>
  <si>
    <t>St Joseph Valley Section</t>
  </si>
  <si>
    <t>St Louis Section</t>
  </si>
  <si>
    <t>Alaska Section</t>
  </si>
  <si>
    <t>British Columbia Section</t>
  </si>
  <si>
    <t>California Inland Section</t>
  </si>
  <si>
    <t>Central Coast Section</t>
  </si>
  <si>
    <t>Channel Islands Section</t>
  </si>
  <si>
    <t>Columbia Basin Section</t>
  </si>
  <si>
    <t>Comstock Section</t>
  </si>
  <si>
    <t>Fresno-Madera Subsection</t>
  </si>
  <si>
    <t>Hawaii Section</t>
  </si>
  <si>
    <t>Idaho Section</t>
  </si>
  <si>
    <t>Inland Empire Section</t>
  </si>
  <si>
    <t>Los Angeles Section</t>
  </si>
  <si>
    <t>Montana Section</t>
  </si>
  <si>
    <t>Mt Diablo Section</t>
  </si>
  <si>
    <t>North Puget Sound Section</t>
  </si>
  <si>
    <t>Northern Alaska Subsection</t>
  </si>
  <si>
    <t>Orange County Section</t>
  </si>
  <si>
    <t>Oregon Section</t>
  </si>
  <si>
    <t>Puget Sound Section</t>
  </si>
  <si>
    <t>Sacramento S N Section</t>
  </si>
  <si>
    <t>San Diego Section</t>
  </si>
  <si>
    <t>San Fernando Valley Section</t>
  </si>
  <si>
    <t>San Francisco Section</t>
  </si>
  <si>
    <t>Santa Clara Valley Section</t>
  </si>
  <si>
    <t>Silver State Section</t>
  </si>
  <si>
    <t>Southern Alberta Section</t>
  </si>
  <si>
    <t>Treasure Valley Section</t>
  </si>
  <si>
    <t>Western Washington Section</t>
  </si>
  <si>
    <t>Williamette Valley Section</t>
  </si>
  <si>
    <t>Apollo Subsection</t>
  </si>
  <si>
    <t>Arcadiana Subsection</t>
  </si>
  <si>
    <t>Arizona Section</t>
  </si>
  <si>
    <t>Arkansas Section</t>
  </si>
  <si>
    <t>Arklatex Section</t>
  </si>
  <si>
    <t>Bartlesville Subsection</t>
  </si>
  <si>
    <t>Baton Rouge Section</t>
  </si>
  <si>
    <t>Brazos Valley Subsection</t>
  </si>
  <si>
    <t>Centennial Section</t>
  </si>
  <si>
    <t>Central Oklahoma Section</t>
  </si>
  <si>
    <t>Central Texas Section</t>
  </si>
  <si>
    <t>Coastal Bend Subsection</t>
  </si>
  <si>
    <t>Colorado Section</t>
  </si>
  <si>
    <t>Corpus Christi Section</t>
  </si>
  <si>
    <t>East Texas Subsection</t>
  </si>
  <si>
    <t>Memorial Subsection</t>
  </si>
  <si>
    <t>Mexico Section</t>
  </si>
  <si>
    <t>Mid Continent Section</t>
  </si>
  <si>
    <t>Monterrey Subsection</t>
  </si>
  <si>
    <t>New Mexico Section</t>
  </si>
  <si>
    <t>New Orleans Section</t>
  </si>
  <si>
    <t>North Texas Section</t>
  </si>
  <si>
    <t>Northern New Mexico Section</t>
  </si>
  <si>
    <t>Northwest Houston Subsection</t>
  </si>
  <si>
    <t>Panhandle Plains Section</t>
  </si>
  <si>
    <t>Permian Basin Subsection</t>
  </si>
  <si>
    <t>Pikes Peak Section</t>
  </si>
  <si>
    <t>Rio Grande Section</t>
  </si>
  <si>
    <t>S W Louisiana Subsection</t>
  </si>
  <si>
    <t>Sabine Section</t>
  </si>
  <si>
    <t>San Antonio Section</t>
  </si>
  <si>
    <t>South Texas Section</t>
  </si>
  <si>
    <t>Utah Section</t>
  </si>
  <si>
    <t>West Texas Section</t>
  </si>
  <si>
    <t>Westpark Subsection</t>
  </si>
  <si>
    <t>Atlanta Section</t>
  </si>
  <si>
    <t>Birmingham Section</t>
  </si>
  <si>
    <t>Broward County Section</t>
  </si>
  <si>
    <t>Canaveral Section</t>
  </si>
  <si>
    <t>Carolina Section</t>
  </si>
  <si>
    <t>Central Sav River Area Section</t>
  </si>
  <si>
    <t>Central Virginia Section</t>
  </si>
  <si>
    <t>Charleston Section</t>
  </si>
  <si>
    <t>Chattahoochee Section</t>
  </si>
  <si>
    <t>Chattanooga Section</t>
  </si>
  <si>
    <t>Coastal Carolina Section</t>
  </si>
  <si>
    <t>East North Carolina Section</t>
  </si>
  <si>
    <t>East Tennessee Section</t>
  </si>
  <si>
    <t>Eastern Virginia Section</t>
  </si>
  <si>
    <t>Florida Section</t>
  </si>
  <si>
    <t>Florida West Coast Section</t>
  </si>
  <si>
    <t>Gator Section</t>
  </si>
  <si>
    <t>Greenville Section</t>
  </si>
  <si>
    <t>Highland Rim Section</t>
  </si>
  <si>
    <t>Holston Section</t>
  </si>
  <si>
    <t>Memphis-Mid South Section</t>
  </si>
  <si>
    <t>Miami Section</t>
  </si>
  <si>
    <t>Middle Georgia Subsection</t>
  </si>
  <si>
    <t>Midlands Section</t>
  </si>
  <si>
    <t>Mississippi Section</t>
  </si>
  <si>
    <t>Mobile-Gulf Coast Section</t>
  </si>
  <si>
    <t>Nashville Section</t>
  </si>
  <si>
    <t>North Alabama Section</t>
  </si>
  <si>
    <t>Northeast Florida Section</t>
  </si>
  <si>
    <t>Northern Virginia Section</t>
  </si>
  <si>
    <t>Northwest Florida Section</t>
  </si>
  <si>
    <t>Oak Ridge Section</t>
  </si>
  <si>
    <t>Palm Beach Section</t>
  </si>
  <si>
    <t>Panama City Section</t>
  </si>
  <si>
    <t>Pee Dee Section</t>
  </si>
  <si>
    <t>Piedmont-Carolina Section</t>
  </si>
  <si>
    <t>Sanvannah Section</t>
  </si>
  <si>
    <t>Tallahassee Section</t>
  </si>
  <si>
    <t>Virginia Section</t>
  </si>
  <si>
    <t>1362XX</t>
  </si>
  <si>
    <t>South Central Section</t>
  </si>
  <si>
    <t>Metro Detroit Section</t>
  </si>
  <si>
    <r>
      <t xml:space="preserve">Adjustment* </t>
    </r>
    <r>
      <rPr>
        <sz val="10"/>
        <color indexed="14"/>
        <rFont val="Arial"/>
        <family val="2"/>
      </rPr>
      <t xml:space="preserve"> </t>
    </r>
  </si>
  <si>
    <t>7/1/09 Total Billed</t>
  </si>
  <si>
    <t>7/1/09 Total Billed
AU'S</t>
  </si>
  <si>
    <t xml:space="preserve">Australia </t>
  </si>
  <si>
    <t xml:space="preserve">Bangladesh </t>
  </si>
  <si>
    <t xml:space="preserve">Brunei - Via Singapore </t>
  </si>
  <si>
    <t xml:space="preserve">Fiji Islands </t>
  </si>
  <si>
    <t xml:space="preserve">Hong Kong </t>
  </si>
  <si>
    <t xml:space="preserve">India </t>
  </si>
  <si>
    <t xml:space="preserve">Indonesia </t>
  </si>
  <si>
    <t xml:space="preserve">Japan </t>
  </si>
  <si>
    <t xml:space="preserve">Malaysia </t>
  </si>
  <si>
    <t xml:space="preserve">Mauritius </t>
  </si>
  <si>
    <t xml:space="preserve">New Zealand </t>
  </si>
  <si>
    <t xml:space="preserve">Pakistan </t>
  </si>
  <si>
    <t xml:space="preserve">Papua New Guinea </t>
  </si>
  <si>
    <t xml:space="preserve">Peoples Republic of China </t>
  </si>
  <si>
    <t xml:space="preserve">Philippines </t>
  </si>
  <si>
    <t xml:space="preserve">Singapore </t>
  </si>
  <si>
    <t xml:space="preserve">South Korea </t>
  </si>
  <si>
    <t xml:space="preserve">Sri Lanka </t>
  </si>
  <si>
    <t xml:space="preserve">Taiwan ROC </t>
  </si>
  <si>
    <t xml:space="preserve">Thailand </t>
  </si>
  <si>
    <t xml:space="preserve">Vietnam </t>
  </si>
  <si>
    <t xml:space="preserve">Slovakia </t>
  </si>
  <si>
    <t xml:space="preserve">Slovenia </t>
  </si>
  <si>
    <t xml:space="preserve">Spain </t>
  </si>
  <si>
    <t xml:space="preserve">Sweden </t>
  </si>
  <si>
    <t xml:space="preserve">Switzerland </t>
  </si>
  <si>
    <t xml:space="preserve">Turkey </t>
  </si>
  <si>
    <t xml:space="preserve">Ukraine </t>
  </si>
  <si>
    <t xml:space="preserve">United Kingdom </t>
  </si>
  <si>
    <t xml:space="preserve">Yugoslavia </t>
  </si>
  <si>
    <t xml:space="preserve">Austria </t>
  </si>
  <si>
    <t xml:space="preserve">Belgium </t>
  </si>
  <si>
    <t xml:space="preserve">Bulgaria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</si>
  <si>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</si>
  <si>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</si>
  <si>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</si>
  <si>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</si>
  <si>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Federal Republic of Germany </t>
  </si>
  <si>
    <t xml:space="preserve">Finland </t>
  </si>
  <si>
    <t xml:space="preserve">France </t>
  </si>
  <si>
    <t xml:space="preserve">Georgia </t>
  </si>
  <si>
    <t xml:space="preserve">Greece </t>
  </si>
  <si>
    <t xml:space="preserve">Hungary </t>
  </si>
  <si>
    <t xml:space="preserve">Iceland </t>
  </si>
  <si>
    <t xml:space="preserve">Israel </t>
  </si>
  <si>
    <t xml:space="preserve">Kazakhstan </t>
  </si>
  <si>
    <t xml:space="preserve">Lithuania </t>
  </si>
  <si>
    <t xml:space="preserve">Malta </t>
  </si>
  <si>
    <t xml:space="preserve">Monaco </t>
  </si>
  <si>
    <t xml:space="preserve">Netherlands </t>
  </si>
  <si>
    <t xml:space="preserve">Norway </t>
  </si>
  <si>
    <t xml:space="preserve">Poland </t>
  </si>
  <si>
    <t xml:space="preserve">Portugal </t>
  </si>
  <si>
    <t xml:space="preserve">Romania </t>
  </si>
  <si>
    <t xml:space="preserve">Russia </t>
  </si>
  <si>
    <t xml:space="preserve">Serbia </t>
  </si>
  <si>
    <t xml:space="preserve">Argentina </t>
  </si>
  <si>
    <t xml:space="preserve">Colombia </t>
  </si>
  <si>
    <t xml:space="preserve">Ecuador </t>
  </si>
  <si>
    <t xml:space="preserve">LAC - Aruba </t>
  </si>
  <si>
    <t xml:space="preserve">LAC - Bahamas </t>
  </si>
  <si>
    <t xml:space="preserve">LAC - Barbados </t>
  </si>
  <si>
    <t xml:space="preserve">LAC - Belize </t>
  </si>
  <si>
    <t xml:space="preserve">LAC - Bermuda </t>
  </si>
  <si>
    <t xml:space="preserve">LAC - Brazil </t>
  </si>
  <si>
    <t xml:space="preserve">LAC - Chile </t>
  </si>
  <si>
    <t xml:space="preserve">LAC - Costa Rica </t>
  </si>
  <si>
    <t xml:space="preserve">LAC - Cuba </t>
  </si>
  <si>
    <t xml:space="preserve">LAC - Dominican Republic </t>
  </si>
  <si>
    <t xml:space="preserve">LAC - El Salvador </t>
  </si>
  <si>
    <t xml:space="preserve">LAC - Guatemala </t>
  </si>
  <si>
    <t xml:space="preserve">LAC - Guyana </t>
  </si>
  <si>
    <t xml:space="preserve">LAC - Honduras </t>
  </si>
  <si>
    <t xml:space="preserve">LAC - Jamaica </t>
  </si>
  <si>
    <t xml:space="preserve">LAC - Nicaragua </t>
  </si>
  <si>
    <t xml:space="preserve">LAC - Panama </t>
  </si>
  <si>
    <t xml:space="preserve">LAC - Saint Lucia </t>
  </si>
  <si>
    <t xml:space="preserve">LAC - Saint Vincent </t>
  </si>
  <si>
    <t xml:space="preserve">LAC - Suriname </t>
  </si>
  <si>
    <t xml:space="preserve">LAC - Uruguay </t>
  </si>
  <si>
    <t xml:space="preserve">LAC - West Indies </t>
  </si>
  <si>
    <t xml:space="preserve">Peru </t>
  </si>
  <si>
    <t xml:space="preserve">Trinidad &amp; Tobago </t>
  </si>
  <si>
    <t xml:space="preserve">Venezuela </t>
  </si>
  <si>
    <t xml:space="preserve">Bahrain </t>
  </si>
  <si>
    <t xml:space="preserve">Botswana </t>
  </si>
  <si>
    <t xml:space="preserve">Cameroon </t>
  </si>
  <si>
    <t xml:space="preserve">Egypt </t>
  </si>
  <si>
    <t xml:space="preserve">Ethiopia </t>
  </si>
  <si>
    <t xml:space="preserve">Ghana </t>
  </si>
  <si>
    <t xml:space="preserve">Iran </t>
  </si>
  <si>
    <t xml:space="preserve">Iraq </t>
  </si>
  <si>
    <t xml:space="preserve">Jordan </t>
  </si>
  <si>
    <t xml:space="preserve">Kenya </t>
  </si>
  <si>
    <t xml:space="preserve">Kuwait </t>
  </si>
  <si>
    <t xml:space="preserve">Lebanon </t>
  </si>
  <si>
    <t xml:space="preserve">Libya - North Africa </t>
  </si>
  <si>
    <t xml:space="preserve">Nigeria </t>
  </si>
  <si>
    <t xml:space="preserve">North Africa / Morocco </t>
  </si>
  <si>
    <t xml:space="preserve">Oman </t>
  </si>
  <si>
    <t xml:space="preserve">Qatar </t>
  </si>
  <si>
    <t xml:space="preserve">South Africa </t>
  </si>
  <si>
    <t xml:space="preserve">Sudan </t>
  </si>
  <si>
    <t xml:space="preserve">Syria </t>
  </si>
  <si>
    <t xml:space="preserve">Tanzania </t>
  </si>
  <si>
    <t xml:space="preserve">Tunisia </t>
  </si>
  <si>
    <t xml:space="preserve">Uganda </t>
  </si>
  <si>
    <t xml:space="preserve">West Africa </t>
  </si>
  <si>
    <t xml:space="preserve">Yemen Arab Republic </t>
  </si>
  <si>
    <t xml:space="preserve">Zimbabwe </t>
  </si>
  <si>
    <t>Winback</t>
  </si>
  <si>
    <t>YTD '10</t>
  </si>
  <si>
    <t>Member, Renewals (09/10)</t>
  </si>
  <si>
    <t>XX unapproved sections</t>
  </si>
  <si>
    <t>XX signifies unapproved sections</t>
  </si>
  <si>
    <t xml:space="preserve">This column reflects renewals from 7/1/09 members.  </t>
  </si>
  <si>
    <t>This column reflects the percentage of the renewals and current reinstatements received from 7/1/09 members.</t>
  </si>
  <si>
    <t>Students graduating prior to December 2009 automatically upgraded to Member.  Implemented yearly in June as part of yearend process.</t>
  </si>
  <si>
    <t>Number of members sent dues bills for 2009/2010 year</t>
  </si>
  <si>
    <t>Number of members who have paid dues (renewed) for the 2009/2010 year</t>
  </si>
  <si>
    <t>Percentage of members that have been renewed or reinstated for the 2009/2010 year as of this report date.</t>
  </si>
  <si>
    <t>New members for the 2009/2010 year</t>
  </si>
  <si>
    <t xml:space="preserve">Number of students who received dues bills for 2009/2010.  Student Bills mailing date: September. </t>
  </si>
  <si>
    <t>2009-2010 Paid Current Membership = Renewals, Winback, New Mbrs and Paid AU's.</t>
  </si>
  <si>
    <t>Column 8:  Paid AUs</t>
  </si>
  <si>
    <t xml:space="preserve">Column 9:  Unpaid AU's </t>
  </si>
  <si>
    <t>Column 1:  7/1/09 Total Billed Members (2009-2010)</t>
  </si>
  <si>
    <t>Column 7:  7/1/09 Total Billed Automatic Upgrades (2009-2010)</t>
  </si>
  <si>
    <t xml:space="preserve">Column 10: Total Membership </t>
  </si>
  <si>
    <t>Paid members won back after dropping membership.</t>
  </si>
  <si>
    <t>Paid Automatic Upgrades (see Column 7).</t>
  </si>
  <si>
    <t>Number of members dropped who have renewed as of this report date</t>
  </si>
  <si>
    <t xml:space="preserve">Students graduating prior to December 2009 automatically upgraded to Member, who have paid their 2009/2010 dues.  </t>
  </si>
  <si>
    <t xml:space="preserve">LAC - Paraguay </t>
  </si>
  <si>
    <t>13B3XX</t>
  </si>
  <si>
    <t>OUT OF SECTION TOTALS</t>
  </si>
  <si>
    <t>Note: July unpaid members not reflected accurately.  Error has been corrected.</t>
  </si>
  <si>
    <t>13M8XX</t>
  </si>
  <si>
    <t xml:space="preserve">LAC - Grenada </t>
  </si>
  <si>
    <t xml:space="preserve">Angola  </t>
  </si>
  <si>
    <t>13M6XX</t>
  </si>
  <si>
    <t xml:space="preserve">Afghanistan </t>
  </si>
  <si>
    <t>13M5XX</t>
  </si>
  <si>
    <t>Northern Alberta Section</t>
  </si>
  <si>
    <t>LAC - Bolivia Section</t>
  </si>
  <si>
    <t>13 - OUTSIDE NO. AMERICA</t>
  </si>
  <si>
    <t>Column 3: Renewal/Reinstate percentage</t>
  </si>
  <si>
    <t xml:space="preserve">Column 4:  Unpaid Members </t>
  </si>
  <si>
    <t>Column 5:  New Members Paid</t>
  </si>
  <si>
    <t xml:space="preserve">Column 6 -Winback </t>
  </si>
  <si>
    <t>Albania</t>
  </si>
  <si>
    <t>Senegal</t>
  </si>
  <si>
    <t>13C2XX</t>
  </si>
  <si>
    <t>13Q1XX</t>
  </si>
  <si>
    <t>Note: Skokie Valley has now merged with Chicago Section  12/09</t>
  </si>
  <si>
    <t>Note: Calumet subsection dissolved and is now in Chicago Section  10/08</t>
  </si>
  <si>
    <r>
      <t>*</t>
    </r>
    <r>
      <rPr>
        <sz val="10"/>
        <rFont val="Arial"/>
        <family val="2"/>
      </rPr>
      <t xml:space="preserve"> Total
Membership</t>
    </r>
  </si>
  <si>
    <r>
      <t>*</t>
    </r>
    <r>
      <rPr>
        <sz val="9"/>
        <rFont val="Arial"/>
        <family val="2"/>
      </rPr>
      <t xml:space="preserve"> Unpaid members are dropped on February 1st and no longer considered active </t>
    </r>
  </si>
  <si>
    <t>Note: Section name chg from SE Michigan to Metro Detroit 1/23/09</t>
  </si>
  <si>
    <t>13S8XX</t>
  </si>
  <si>
    <t xml:space="preserve">Maldives </t>
  </si>
  <si>
    <t>13W7XX</t>
  </si>
  <si>
    <t xml:space="preserve">Macedonia </t>
  </si>
  <si>
    <t>1361XX</t>
  </si>
  <si>
    <t xml:space="preserve">LAC - Antigua &amp; Barbuda </t>
  </si>
  <si>
    <t>1378XX</t>
  </si>
  <si>
    <t xml:space="preserve">LAC - Haiti </t>
  </si>
  <si>
    <t>13B9XX</t>
  </si>
  <si>
    <t xml:space="preserve">Algeria </t>
  </si>
  <si>
    <t>13G9XX</t>
  </si>
  <si>
    <t xml:space="preserve">Malawi </t>
  </si>
  <si>
    <t>13G8XX</t>
  </si>
  <si>
    <t xml:space="preserve">Nepal </t>
  </si>
  <si>
    <t>13U1XX</t>
  </si>
  <si>
    <t xml:space="preserve">Sierra Leone </t>
  </si>
  <si>
    <t>Note: Boliva upgraded to a Section  3/09</t>
  </si>
  <si>
    <t>Note:  11/09 Southern Arizona Section (120700) merged with Arizona Section (120100).</t>
  </si>
  <si>
    <t>Italy Section</t>
  </si>
  <si>
    <t>Mongolia</t>
  </si>
  <si>
    <t>13T1XX</t>
  </si>
  <si>
    <t xml:space="preserve">Note: </t>
  </si>
  <si>
    <t xml:space="preserve">Itaty updated to a Section 4/27/10 </t>
  </si>
  <si>
    <t>MDC REPORT 6/30/10</t>
  </si>
  <si>
    <t>MDC REPORT6/30/10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</si>
</sst>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_);\(0\)"/>
    <numFmt numFmtId="171" formatCode="#,##0.00[$%-409]"/>
    <numFmt numFmtId="172" formatCode="0[$%-409]_);\(0[$%-409]\)"/>
    <numFmt numFmtId="173" formatCode="0.0;[Red]0.0"/>
    <numFmt numFmtId="174" formatCode="0.00;[Red]0.00"/>
    <numFmt numFmtId="175" formatCode="0;[Red]0"/>
    <numFmt numFmtId="176" formatCode="\'0#####"/>
    <numFmt numFmtId="177" formatCode="0#####"/>
    <numFmt numFmtId="178" formatCode="[$-409]h:mm:ss\ AM/PM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8"/>
      <name val="Arial"/>
      <family val="0"/>
    </font>
    <font>
      <b/>
      <u val="single"/>
      <sz val="8"/>
      <name val="Book Antiqua"/>
      <family val="1"/>
    </font>
    <font>
      <sz val="8"/>
      <name val="Book Antiqua"/>
      <family val="1"/>
    </font>
    <font>
      <i/>
      <u val="single"/>
      <sz val="8"/>
      <name val="Book Antiqua"/>
      <family val="1"/>
    </font>
    <font>
      <b/>
      <i/>
      <u val="single"/>
      <sz val="8"/>
      <name val="Book Antiqua"/>
      <family val="1"/>
    </font>
    <font>
      <sz val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14" fontId="4" fillId="0" borderId="0" xfId="0" applyNumberFormat="1" applyFont="1" applyAlignment="1" quotePrefix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 horizontal="left"/>
    </xf>
    <xf numFmtId="11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justify" wrapText="1"/>
    </xf>
    <xf numFmtId="0" fontId="10" fillId="0" borderId="0" xfId="0" applyFont="1" applyAlignment="1">
      <alignment horizontal="left" indent="15"/>
    </xf>
    <xf numFmtId="0" fontId="9" fillId="0" borderId="0" xfId="0" applyFont="1" applyAlignment="1">
      <alignment/>
    </xf>
    <xf numFmtId="0" fontId="11" fillId="0" borderId="0" xfId="0" applyFont="1" applyAlignment="1">
      <alignment horizontal="left" indent="15"/>
    </xf>
    <xf numFmtId="0" fontId="9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 quotePrefix="1">
      <alignment horizontal="right"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5" xfId="0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171" fontId="1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left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right"/>
    </xf>
    <xf numFmtId="14" fontId="4" fillId="0" borderId="0" xfId="0" applyNumberFormat="1" applyFont="1" applyFill="1" applyBorder="1" applyAlignment="1" quotePrefix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 quotePrefix="1">
      <alignment horizontal="righ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1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/>
    </xf>
    <xf numFmtId="11" fontId="4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4" fontId="6" fillId="0" borderId="0" xfId="0" applyNumberFormat="1" applyFont="1" applyFill="1" applyBorder="1" applyAlignment="1" quotePrefix="1">
      <alignment horizontal="center" wrapText="1"/>
    </xf>
    <xf numFmtId="0" fontId="6" fillId="0" borderId="0" xfId="0" applyFont="1" applyFill="1" applyBorder="1" applyAlignment="1" quotePrefix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quotePrefix="1">
      <alignment horizontal="right" wrapText="1"/>
    </xf>
    <xf numFmtId="3" fontId="1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171" fontId="4" fillId="0" borderId="0" xfId="0" applyNumberFormat="1" applyFont="1" applyFill="1" applyAlignment="1">
      <alignment vertical="top" wrapText="1"/>
    </xf>
    <xf numFmtId="10" fontId="6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/>
    </xf>
    <xf numFmtId="37" fontId="2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171" fontId="2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left"/>
    </xf>
    <xf numFmtId="0" fontId="2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7" fontId="17" fillId="0" borderId="0" xfId="0" applyNumberFormat="1" applyFont="1" applyAlignment="1">
      <alignment/>
    </xf>
    <xf numFmtId="37" fontId="20" fillId="0" borderId="0" xfId="0" applyNumberFormat="1" applyFont="1" applyAlignment="1">
      <alignment/>
    </xf>
    <xf numFmtId="0" fontId="1" fillId="0" borderId="0" xfId="0" applyFont="1" applyFill="1" applyBorder="1" applyAlignment="1" quotePrefix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37" fontId="22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7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7" fontId="17" fillId="0" borderId="0" xfId="0" applyNumberFormat="1" applyFont="1" applyFill="1" applyAlignment="1">
      <alignment/>
    </xf>
    <xf numFmtId="37" fontId="22" fillId="0" borderId="0" xfId="0" applyNumberFormat="1" applyFont="1" applyFill="1" applyAlignment="1">
      <alignment/>
    </xf>
    <xf numFmtId="172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37" fontId="22" fillId="0" borderId="0" xfId="0" applyNumberFormat="1" applyFont="1" applyFill="1" applyAlignment="1">
      <alignment/>
    </xf>
    <xf numFmtId="9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7" fontId="0" fillId="0" borderId="0" xfId="0" applyNumberForma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10" fontId="24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5"/>
    </xf>
    <xf numFmtId="0" fontId="14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9" xfId="0" applyFont="1" applyFill="1" applyBorder="1" applyAlignment="1">
      <alignment horizontal="left"/>
    </xf>
    <xf numFmtId="0" fontId="9" fillId="0" borderId="9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3" fontId="20" fillId="0" borderId="0" xfId="0" applyNumberFormat="1" applyFont="1" applyFill="1" applyBorder="1" applyAlignment="1">
      <alignment/>
    </xf>
    <xf numFmtId="9" fontId="20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37" fontId="20" fillId="0" borderId="0" xfId="0" applyNumberFormat="1" applyFont="1" applyAlignment="1">
      <alignment/>
    </xf>
    <xf numFmtId="9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171" fontId="20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37" fontId="20" fillId="0" borderId="0" xfId="0" applyNumberFormat="1" applyFont="1" applyBorder="1" applyAlignment="1">
      <alignment/>
    </xf>
    <xf numFmtId="37" fontId="20" fillId="0" borderId="0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37" fontId="20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77" fontId="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7" fontId="2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71" fontId="20" fillId="0" borderId="0" xfId="0" applyNumberFormat="1" applyFont="1" applyFill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1"/>
  <sheetViews>
    <sheetView showGridLines="0" workbookViewId="0" topLeftCell="A1">
      <selection activeCell="B26" sqref="B26"/>
    </sheetView>
  </sheetViews>
  <sheetFormatPr defaultColWidth="9.140625" defaultRowHeight="12.75"/>
  <cols>
    <col min="1" max="1" width="3.421875" style="0" customWidth="1"/>
    <col min="2" max="2" width="78.8515625" style="0" customWidth="1"/>
  </cols>
  <sheetData>
    <row r="2" ht="6.75" customHeight="1"/>
    <row r="3" ht="12.75">
      <c r="B3" s="27"/>
    </row>
    <row r="4" ht="12.75">
      <c r="B4" s="28" t="s">
        <v>0</v>
      </c>
    </row>
    <row r="5" ht="12.75">
      <c r="B5" s="28"/>
    </row>
    <row r="6" ht="12.75">
      <c r="B6" s="28" t="s">
        <v>1</v>
      </c>
    </row>
    <row r="7" ht="12.75">
      <c r="B7" s="28"/>
    </row>
    <row r="8" ht="25.5">
      <c r="B8" s="31" t="s">
        <v>159</v>
      </c>
    </row>
    <row r="9" ht="12.75">
      <c r="B9" s="29"/>
    </row>
    <row r="10" ht="12.75">
      <c r="B10" s="28" t="s">
        <v>160</v>
      </c>
    </row>
    <row r="11" ht="12.75">
      <c r="B11" s="28" t="s">
        <v>2</v>
      </c>
    </row>
    <row r="12" ht="12.75">
      <c r="B12" s="28"/>
    </row>
    <row r="13" ht="12.75">
      <c r="B13" s="28" t="s">
        <v>161</v>
      </c>
    </row>
    <row r="14" ht="12.75">
      <c r="B14" s="28"/>
    </row>
    <row r="15" ht="12.75">
      <c r="B15" s="28" t="s">
        <v>3</v>
      </c>
    </row>
    <row r="16" ht="12.75">
      <c r="B16" s="28"/>
    </row>
    <row r="17" ht="12.75">
      <c r="B17" s="28" t="s">
        <v>162</v>
      </c>
    </row>
    <row r="18" ht="12.75">
      <c r="B18" s="30"/>
    </row>
    <row r="19" ht="8.25" customHeight="1"/>
    <row r="20" ht="12.75">
      <c r="B20" t="s">
        <v>4</v>
      </c>
    </row>
    <row r="21" ht="12.75">
      <c r="B21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5"/>
  <sheetViews>
    <sheetView zoomScale="75" zoomScaleNormal="75" workbookViewId="0" topLeftCell="A1">
      <selection activeCell="I51" sqref="I51"/>
    </sheetView>
  </sheetViews>
  <sheetFormatPr defaultColWidth="9.140625" defaultRowHeight="12.75"/>
  <cols>
    <col min="1" max="1" width="8.421875" style="5" customWidth="1"/>
    <col min="2" max="2" width="30.7109375" style="5" customWidth="1"/>
    <col min="3" max="3" width="7.57421875" style="25" customWidth="1"/>
    <col min="4" max="4" width="9.8515625" style="25" customWidth="1"/>
    <col min="5" max="5" width="9.00390625" style="25" customWidth="1"/>
    <col min="6" max="6" width="9.421875" style="25" customWidth="1"/>
    <col min="7" max="8" width="9.57421875" style="25" customWidth="1"/>
    <col min="9" max="9" width="9.421875" style="25" customWidth="1"/>
    <col min="10" max="10" width="6.57421875" style="25" customWidth="1"/>
    <col min="11" max="11" width="7.421875" style="25" customWidth="1"/>
    <col min="12" max="12" width="11.57421875" style="74" customWidth="1"/>
    <col min="13" max="16384" width="9.140625" style="5" customWidth="1"/>
  </cols>
  <sheetData>
    <row r="1" spans="1:12" s="4" customFormat="1" ht="12">
      <c r="A1" s="46" t="s">
        <v>693</v>
      </c>
      <c r="B1" s="47"/>
      <c r="C1" s="67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</row>
    <row r="2" spans="1:12" s="52" customFormat="1" ht="51">
      <c r="A2" s="58" t="s">
        <v>191</v>
      </c>
      <c r="B2" s="58" t="s">
        <v>190</v>
      </c>
      <c r="C2" s="72" t="s">
        <v>509</v>
      </c>
      <c r="D2" s="73" t="s">
        <v>305</v>
      </c>
      <c r="E2" s="73" t="s">
        <v>186</v>
      </c>
      <c r="F2" s="73" t="s">
        <v>187</v>
      </c>
      <c r="G2" s="73" t="s">
        <v>306</v>
      </c>
      <c r="H2" s="72" t="s">
        <v>621</v>
      </c>
      <c r="I2" s="72" t="s">
        <v>510</v>
      </c>
      <c r="J2" s="72" t="s">
        <v>188</v>
      </c>
      <c r="K2" s="72" t="s">
        <v>189</v>
      </c>
      <c r="L2" s="210" t="s">
        <v>667</v>
      </c>
    </row>
    <row r="3" spans="2:12" ht="12">
      <c r="B3" s="45"/>
      <c r="C3" s="53"/>
      <c r="D3" s="53"/>
      <c r="E3" s="53"/>
      <c r="F3" s="53"/>
      <c r="G3" s="53"/>
      <c r="H3" s="53"/>
      <c r="I3" s="53"/>
      <c r="J3" s="53"/>
      <c r="K3" s="87"/>
      <c r="L3" s="53"/>
    </row>
    <row r="4" spans="1:12" ht="12">
      <c r="A4" s="48" t="s">
        <v>170</v>
      </c>
      <c r="C4" s="53"/>
      <c r="D4" s="53"/>
      <c r="E4" s="53"/>
      <c r="F4" s="53"/>
      <c r="G4" s="53"/>
      <c r="H4" s="53"/>
      <c r="I4" s="53"/>
      <c r="J4" s="53"/>
      <c r="K4" s="87"/>
      <c r="L4" s="53"/>
    </row>
    <row r="5" spans="2:12" ht="12.75">
      <c r="B5" s="45"/>
      <c r="C5" s="57" t="s">
        <v>34</v>
      </c>
      <c r="D5" s="57"/>
      <c r="E5" s="57"/>
      <c r="F5" s="57"/>
      <c r="G5" s="57"/>
      <c r="H5" s="57"/>
      <c r="I5" s="57"/>
      <c r="J5" s="57"/>
      <c r="K5" s="104"/>
      <c r="L5" s="57"/>
    </row>
    <row r="6" spans="1:12" s="148" customFormat="1" ht="12.75">
      <c r="A6" s="209" t="s">
        <v>664</v>
      </c>
      <c r="B6" s="170" t="s">
        <v>661</v>
      </c>
      <c r="C6" s="123">
        <v>1</v>
      </c>
      <c r="D6" s="162">
        <v>1</v>
      </c>
      <c r="E6" s="128">
        <f>D6/C6</f>
        <v>1</v>
      </c>
      <c r="F6" s="123">
        <f>C6-D6</f>
        <v>0</v>
      </c>
      <c r="G6" s="162">
        <v>0</v>
      </c>
      <c r="H6" s="162">
        <v>0</v>
      </c>
      <c r="I6" s="123">
        <v>0</v>
      </c>
      <c r="J6" s="162">
        <v>0</v>
      </c>
      <c r="K6" s="123">
        <f>I6-J6</f>
        <v>0</v>
      </c>
      <c r="L6" s="123">
        <f>D6+G6+H6+J6</f>
        <v>1</v>
      </c>
    </row>
    <row r="7" spans="1:12" s="150" customFormat="1" ht="12.75">
      <c r="A7" s="141" t="s">
        <v>212</v>
      </c>
      <c r="B7" s="201" t="s">
        <v>541</v>
      </c>
      <c r="C7" s="202">
        <f>31+1</f>
        <v>32</v>
      </c>
      <c r="D7" s="162">
        <v>32</v>
      </c>
      <c r="E7" s="203">
        <f>D7/C7</f>
        <v>1</v>
      </c>
      <c r="F7" s="162">
        <f>C7-D7</f>
        <v>0</v>
      </c>
      <c r="G7" s="162">
        <v>3</v>
      </c>
      <c r="H7" s="162">
        <v>0</v>
      </c>
      <c r="I7" s="202">
        <v>0</v>
      </c>
      <c r="J7" s="162">
        <v>0</v>
      </c>
      <c r="K7" s="147">
        <f>I7-J7</f>
        <v>0</v>
      </c>
      <c r="L7" s="162">
        <f>D7+G7+H7+J7</f>
        <v>35</v>
      </c>
    </row>
    <row r="8" spans="1:12" s="148" customFormat="1" ht="12.75">
      <c r="A8" s="149" t="s">
        <v>213</v>
      </c>
      <c r="B8" s="201" t="s">
        <v>542</v>
      </c>
      <c r="C8" s="202">
        <v>52</v>
      </c>
      <c r="D8" s="162">
        <v>49</v>
      </c>
      <c r="E8" s="203">
        <f aca="true" t="shared" si="0" ref="E8:E43">D8/C8</f>
        <v>0.9423076923076923</v>
      </c>
      <c r="F8" s="162">
        <f aca="true" t="shared" si="1" ref="F8:F43">C8-D8</f>
        <v>3</v>
      </c>
      <c r="G8" s="162">
        <v>18</v>
      </c>
      <c r="H8" s="162">
        <v>0</v>
      </c>
      <c r="I8" s="202">
        <v>0</v>
      </c>
      <c r="J8" s="162">
        <v>0</v>
      </c>
      <c r="K8" s="147">
        <f aca="true" t="shared" si="2" ref="K8:K43">I8-J8</f>
        <v>0</v>
      </c>
      <c r="L8" s="162">
        <f aca="true" t="shared" si="3" ref="L8:L43">D8+G8+H8+J8</f>
        <v>67</v>
      </c>
    </row>
    <row r="9" spans="1:12" s="148" customFormat="1" ht="12.75">
      <c r="A9" s="141" t="s">
        <v>214</v>
      </c>
      <c r="B9" s="201" t="s">
        <v>543</v>
      </c>
      <c r="C9" s="202">
        <v>4</v>
      </c>
      <c r="D9" s="162">
        <v>4</v>
      </c>
      <c r="E9" s="203">
        <f t="shared" si="0"/>
        <v>1</v>
      </c>
      <c r="F9" s="162">
        <f t="shared" si="1"/>
        <v>0</v>
      </c>
      <c r="G9" s="162">
        <v>1</v>
      </c>
      <c r="H9" s="162">
        <v>0</v>
      </c>
      <c r="I9" s="202">
        <v>0</v>
      </c>
      <c r="J9" s="162">
        <v>0</v>
      </c>
      <c r="K9" s="147">
        <f t="shared" si="2"/>
        <v>0</v>
      </c>
      <c r="L9" s="162">
        <f t="shared" si="3"/>
        <v>5</v>
      </c>
    </row>
    <row r="10" spans="1:12" s="148" customFormat="1" ht="12.75">
      <c r="A10" s="149" t="s">
        <v>215</v>
      </c>
      <c r="B10" s="201" t="s">
        <v>544</v>
      </c>
      <c r="C10" s="202">
        <v>12</v>
      </c>
      <c r="D10" s="162">
        <v>10</v>
      </c>
      <c r="E10" s="203">
        <f t="shared" si="0"/>
        <v>0.8333333333333334</v>
      </c>
      <c r="F10" s="162">
        <f t="shared" si="1"/>
        <v>2</v>
      </c>
      <c r="G10" s="162">
        <v>2</v>
      </c>
      <c r="H10" s="162">
        <v>0</v>
      </c>
      <c r="I10" s="202">
        <v>0</v>
      </c>
      <c r="J10" s="162">
        <v>0</v>
      </c>
      <c r="K10" s="147">
        <f t="shared" si="2"/>
        <v>0</v>
      </c>
      <c r="L10" s="162">
        <f t="shared" si="3"/>
        <v>12</v>
      </c>
    </row>
    <row r="11" spans="1:12" s="148" customFormat="1" ht="12.75">
      <c r="A11" s="149" t="s">
        <v>216</v>
      </c>
      <c r="B11" s="201" t="s">
        <v>545</v>
      </c>
      <c r="C11" s="202">
        <v>20</v>
      </c>
      <c r="D11" s="162">
        <v>17</v>
      </c>
      <c r="E11" s="203">
        <f t="shared" si="0"/>
        <v>0.85</v>
      </c>
      <c r="F11" s="162">
        <f t="shared" si="1"/>
        <v>3</v>
      </c>
      <c r="G11" s="162">
        <v>1</v>
      </c>
      <c r="H11" s="162">
        <v>3</v>
      </c>
      <c r="I11" s="202">
        <v>0</v>
      </c>
      <c r="J11" s="162">
        <v>0</v>
      </c>
      <c r="K11" s="147">
        <f t="shared" si="2"/>
        <v>0</v>
      </c>
      <c r="L11" s="162">
        <f t="shared" si="3"/>
        <v>21</v>
      </c>
    </row>
    <row r="12" spans="1:12" s="148" customFormat="1" ht="12.75">
      <c r="A12" s="149" t="s">
        <v>217</v>
      </c>
      <c r="B12" s="201" t="s">
        <v>546</v>
      </c>
      <c r="C12" s="202">
        <v>20</v>
      </c>
      <c r="D12" s="162">
        <v>19</v>
      </c>
      <c r="E12" s="203">
        <f t="shared" si="0"/>
        <v>0.95</v>
      </c>
      <c r="F12" s="162">
        <f t="shared" si="1"/>
        <v>1</v>
      </c>
      <c r="G12" s="162">
        <v>16</v>
      </c>
      <c r="H12" s="162">
        <v>1</v>
      </c>
      <c r="I12" s="202">
        <v>1</v>
      </c>
      <c r="J12" s="162">
        <v>1</v>
      </c>
      <c r="K12" s="147">
        <f t="shared" si="2"/>
        <v>0</v>
      </c>
      <c r="L12" s="162">
        <f t="shared" si="3"/>
        <v>37</v>
      </c>
    </row>
    <row r="13" spans="1:12" s="148" customFormat="1" ht="12.75">
      <c r="A13" s="149" t="s">
        <v>218</v>
      </c>
      <c r="B13" s="201" t="s">
        <v>547</v>
      </c>
      <c r="C13" s="202">
        <v>33</v>
      </c>
      <c r="D13" s="162">
        <v>32</v>
      </c>
      <c r="E13" s="203">
        <f t="shared" si="0"/>
        <v>0.9696969696969697</v>
      </c>
      <c r="F13" s="162">
        <f t="shared" si="1"/>
        <v>1</v>
      </c>
      <c r="G13" s="162">
        <v>9</v>
      </c>
      <c r="H13" s="162">
        <v>2</v>
      </c>
      <c r="I13" s="202">
        <v>0</v>
      </c>
      <c r="J13" s="162">
        <v>0</v>
      </c>
      <c r="K13" s="147">
        <f t="shared" si="2"/>
        <v>0</v>
      </c>
      <c r="L13" s="162">
        <f t="shared" si="3"/>
        <v>43</v>
      </c>
    </row>
    <row r="14" spans="1:12" s="148" customFormat="1" ht="12.75">
      <c r="A14" s="149" t="s">
        <v>219</v>
      </c>
      <c r="B14" s="201" t="s">
        <v>548</v>
      </c>
      <c r="C14" s="202">
        <v>153</v>
      </c>
      <c r="D14" s="162">
        <v>147</v>
      </c>
      <c r="E14" s="203">
        <f t="shared" si="0"/>
        <v>0.9607843137254902</v>
      </c>
      <c r="F14" s="162">
        <f t="shared" si="1"/>
        <v>6</v>
      </c>
      <c r="G14" s="162">
        <v>59</v>
      </c>
      <c r="H14" s="162">
        <v>3</v>
      </c>
      <c r="I14" s="202">
        <f>2+1+1+1</f>
        <v>5</v>
      </c>
      <c r="J14" s="162">
        <v>5</v>
      </c>
      <c r="K14" s="147">
        <f t="shared" si="2"/>
        <v>0</v>
      </c>
      <c r="L14" s="162">
        <f t="shared" si="3"/>
        <v>214</v>
      </c>
    </row>
    <row r="15" spans="1:12" s="148" customFormat="1" ht="12.75">
      <c r="A15" s="149" t="s">
        <v>220</v>
      </c>
      <c r="B15" s="201" t="s">
        <v>549</v>
      </c>
      <c r="C15" s="202">
        <v>20</v>
      </c>
      <c r="D15" s="162">
        <v>17</v>
      </c>
      <c r="E15" s="203">
        <f t="shared" si="0"/>
        <v>0.85</v>
      </c>
      <c r="F15" s="162">
        <f t="shared" si="1"/>
        <v>3</v>
      </c>
      <c r="G15" s="162">
        <v>6</v>
      </c>
      <c r="H15" s="162">
        <v>0</v>
      </c>
      <c r="I15" s="202">
        <v>0</v>
      </c>
      <c r="J15" s="162">
        <v>0</v>
      </c>
      <c r="K15" s="147">
        <f t="shared" si="2"/>
        <v>0</v>
      </c>
      <c r="L15" s="162">
        <f t="shared" si="3"/>
        <v>23</v>
      </c>
    </row>
    <row r="16" spans="1:12" s="148" customFormat="1" ht="12.75">
      <c r="A16" s="149" t="s">
        <v>221</v>
      </c>
      <c r="B16" s="201" t="s">
        <v>550</v>
      </c>
      <c r="C16" s="202">
        <v>120</v>
      </c>
      <c r="D16" s="162">
        <v>116</v>
      </c>
      <c r="E16" s="203">
        <f t="shared" si="0"/>
        <v>0.9666666666666667</v>
      </c>
      <c r="F16" s="162">
        <f t="shared" si="1"/>
        <v>4</v>
      </c>
      <c r="G16" s="162">
        <v>44</v>
      </c>
      <c r="H16" s="162">
        <v>4</v>
      </c>
      <c r="I16" s="202">
        <f>1+1</f>
        <v>2</v>
      </c>
      <c r="J16" s="162">
        <v>2</v>
      </c>
      <c r="K16" s="147">
        <f t="shared" si="2"/>
        <v>0</v>
      </c>
      <c r="L16" s="162">
        <f t="shared" si="3"/>
        <v>166</v>
      </c>
    </row>
    <row r="17" spans="1:12" s="148" customFormat="1" ht="12.75">
      <c r="A17" s="149" t="s">
        <v>222</v>
      </c>
      <c r="B17" s="201" t="s">
        <v>551</v>
      </c>
      <c r="C17" s="202">
        <v>1</v>
      </c>
      <c r="D17" s="162">
        <v>1</v>
      </c>
      <c r="E17" s="203">
        <f t="shared" si="0"/>
        <v>1</v>
      </c>
      <c r="F17" s="162">
        <f t="shared" si="1"/>
        <v>0</v>
      </c>
      <c r="G17" s="162">
        <v>1</v>
      </c>
      <c r="H17" s="162">
        <v>0</v>
      </c>
      <c r="I17" s="202">
        <v>0</v>
      </c>
      <c r="J17" s="162">
        <v>0</v>
      </c>
      <c r="K17" s="147">
        <f t="shared" si="2"/>
        <v>0</v>
      </c>
      <c r="L17" s="162">
        <f t="shared" si="3"/>
        <v>2</v>
      </c>
    </row>
    <row r="18" spans="1:12" s="148" customFormat="1" ht="12.75">
      <c r="A18" s="149" t="s">
        <v>223</v>
      </c>
      <c r="B18" s="201" t="s">
        <v>552</v>
      </c>
      <c r="C18" s="202">
        <v>108</v>
      </c>
      <c r="D18" s="162">
        <v>96</v>
      </c>
      <c r="E18" s="203">
        <f t="shared" si="0"/>
        <v>0.8888888888888888</v>
      </c>
      <c r="F18" s="162">
        <f t="shared" si="1"/>
        <v>12</v>
      </c>
      <c r="G18" s="162">
        <v>8</v>
      </c>
      <c r="H18" s="162">
        <v>5</v>
      </c>
      <c r="I18" s="202">
        <v>0</v>
      </c>
      <c r="J18" s="162">
        <v>0</v>
      </c>
      <c r="K18" s="147">
        <f t="shared" si="2"/>
        <v>0</v>
      </c>
      <c r="L18" s="162">
        <f t="shared" si="3"/>
        <v>109</v>
      </c>
    </row>
    <row r="19" spans="1:12" s="160" customFormat="1" ht="12.75">
      <c r="A19" s="149" t="s">
        <v>224</v>
      </c>
      <c r="B19" s="201" t="s">
        <v>553</v>
      </c>
      <c r="C19" s="202">
        <v>10</v>
      </c>
      <c r="D19" s="162">
        <v>9</v>
      </c>
      <c r="E19" s="203">
        <f t="shared" si="0"/>
        <v>0.9</v>
      </c>
      <c r="F19" s="162">
        <f t="shared" si="1"/>
        <v>1</v>
      </c>
      <c r="G19" s="162">
        <v>1</v>
      </c>
      <c r="H19" s="162">
        <v>0</v>
      </c>
      <c r="I19" s="147">
        <v>0</v>
      </c>
      <c r="J19" s="162">
        <v>0</v>
      </c>
      <c r="K19" s="147">
        <f t="shared" si="2"/>
        <v>0</v>
      </c>
      <c r="L19" s="162">
        <f t="shared" si="3"/>
        <v>10</v>
      </c>
    </row>
    <row r="20" spans="1:12" s="148" customFormat="1" ht="12.75">
      <c r="A20" s="149" t="s">
        <v>225</v>
      </c>
      <c r="B20" s="201" t="s">
        <v>554</v>
      </c>
      <c r="C20" s="202">
        <v>1</v>
      </c>
      <c r="D20" s="162">
        <v>1</v>
      </c>
      <c r="E20" s="203">
        <f t="shared" si="0"/>
        <v>1</v>
      </c>
      <c r="F20" s="162">
        <f t="shared" si="1"/>
        <v>0</v>
      </c>
      <c r="G20" s="162">
        <v>0</v>
      </c>
      <c r="H20" s="162">
        <v>0</v>
      </c>
      <c r="I20" s="147">
        <v>0</v>
      </c>
      <c r="J20" s="162">
        <v>0</v>
      </c>
      <c r="K20" s="147">
        <f t="shared" si="2"/>
        <v>0</v>
      </c>
      <c r="L20" s="162">
        <f t="shared" si="3"/>
        <v>1</v>
      </c>
    </row>
    <row r="21" spans="1:12" s="148" customFormat="1" ht="12.75">
      <c r="A21" s="149" t="s">
        <v>226</v>
      </c>
      <c r="B21" s="201" t="s">
        <v>555</v>
      </c>
      <c r="C21" s="202">
        <v>92</v>
      </c>
      <c r="D21" s="162">
        <v>88</v>
      </c>
      <c r="E21" s="203">
        <f t="shared" si="0"/>
        <v>0.9565217391304348</v>
      </c>
      <c r="F21" s="162">
        <f t="shared" si="1"/>
        <v>4</v>
      </c>
      <c r="G21" s="162">
        <v>16</v>
      </c>
      <c r="H21" s="162">
        <v>6</v>
      </c>
      <c r="I21" s="147">
        <v>1</v>
      </c>
      <c r="J21" s="162">
        <v>1</v>
      </c>
      <c r="K21" s="147">
        <f t="shared" si="2"/>
        <v>0</v>
      </c>
      <c r="L21" s="162">
        <f t="shared" si="3"/>
        <v>111</v>
      </c>
    </row>
    <row r="22" spans="1:12" s="148" customFormat="1" ht="12.75">
      <c r="A22" s="149" t="s">
        <v>227</v>
      </c>
      <c r="B22" s="201" t="s">
        <v>688</v>
      </c>
      <c r="C22" s="202">
        <v>198</v>
      </c>
      <c r="D22" s="162">
        <v>178</v>
      </c>
      <c r="E22" s="203">
        <f t="shared" si="0"/>
        <v>0.898989898989899</v>
      </c>
      <c r="F22" s="162">
        <f t="shared" si="1"/>
        <v>20</v>
      </c>
      <c r="G22" s="162">
        <v>32</v>
      </c>
      <c r="H22" s="162">
        <v>1</v>
      </c>
      <c r="I22" s="147">
        <f>0+1+2</f>
        <v>3</v>
      </c>
      <c r="J22" s="162">
        <v>3</v>
      </c>
      <c r="K22" s="147">
        <f t="shared" si="2"/>
        <v>0</v>
      </c>
      <c r="L22" s="162">
        <f t="shared" si="3"/>
        <v>214</v>
      </c>
    </row>
    <row r="23" spans="1:12" s="148" customFormat="1" ht="12.75">
      <c r="A23" s="149" t="s">
        <v>228</v>
      </c>
      <c r="B23" s="204" t="s">
        <v>556</v>
      </c>
      <c r="C23" s="147">
        <v>1</v>
      </c>
      <c r="D23" s="162">
        <v>0</v>
      </c>
      <c r="E23" s="203">
        <f t="shared" si="0"/>
        <v>0</v>
      </c>
      <c r="F23" s="169">
        <f t="shared" si="1"/>
        <v>1</v>
      </c>
      <c r="G23" s="162">
        <v>0</v>
      </c>
      <c r="H23" s="162">
        <v>0</v>
      </c>
      <c r="I23" s="147">
        <v>0</v>
      </c>
      <c r="J23" s="162">
        <v>0</v>
      </c>
      <c r="K23" s="147">
        <f t="shared" si="2"/>
        <v>0</v>
      </c>
      <c r="L23" s="169">
        <f t="shared" si="3"/>
        <v>0</v>
      </c>
    </row>
    <row r="24" spans="1:12" s="148" customFormat="1" ht="12.75">
      <c r="A24" s="149" t="s">
        <v>229</v>
      </c>
      <c r="B24" s="204" t="s">
        <v>557</v>
      </c>
      <c r="C24" s="147">
        <v>5</v>
      </c>
      <c r="D24" s="162">
        <v>5</v>
      </c>
      <c r="E24" s="203">
        <f t="shared" si="0"/>
        <v>1</v>
      </c>
      <c r="F24" s="169">
        <f t="shared" si="1"/>
        <v>0</v>
      </c>
      <c r="G24" s="162">
        <v>0</v>
      </c>
      <c r="H24" s="162">
        <v>0</v>
      </c>
      <c r="I24" s="147">
        <v>0</v>
      </c>
      <c r="J24" s="162">
        <v>0</v>
      </c>
      <c r="K24" s="147">
        <f t="shared" si="2"/>
        <v>0</v>
      </c>
      <c r="L24" s="169">
        <f t="shared" si="3"/>
        <v>5</v>
      </c>
    </row>
    <row r="25" spans="1:12" s="148" customFormat="1" ht="12.75">
      <c r="A25" s="217" t="s">
        <v>672</v>
      </c>
      <c r="B25" s="218" t="s">
        <v>673</v>
      </c>
      <c r="C25" s="219">
        <v>1</v>
      </c>
      <c r="D25" s="162">
        <v>1</v>
      </c>
      <c r="E25" s="214">
        <f t="shared" si="0"/>
        <v>1</v>
      </c>
      <c r="F25" s="169">
        <f t="shared" si="1"/>
        <v>0</v>
      </c>
      <c r="G25" s="162">
        <v>0</v>
      </c>
      <c r="H25" s="162">
        <v>0</v>
      </c>
      <c r="I25" s="169">
        <v>0</v>
      </c>
      <c r="J25" s="162">
        <v>0</v>
      </c>
      <c r="K25" s="147">
        <f t="shared" si="2"/>
        <v>0</v>
      </c>
      <c r="L25" s="169">
        <f t="shared" si="3"/>
        <v>1</v>
      </c>
    </row>
    <row r="26" spans="1:12" s="148" customFormat="1" ht="12.75">
      <c r="A26" s="149" t="s">
        <v>230</v>
      </c>
      <c r="B26" s="201" t="s">
        <v>558</v>
      </c>
      <c r="C26" s="202">
        <f>4+2</f>
        <v>6</v>
      </c>
      <c r="D26" s="162">
        <v>6</v>
      </c>
      <c r="E26" s="203">
        <f t="shared" si="0"/>
        <v>1</v>
      </c>
      <c r="F26" s="162">
        <f t="shared" si="1"/>
        <v>0</v>
      </c>
      <c r="G26" s="162">
        <v>1</v>
      </c>
      <c r="H26" s="162">
        <v>0</v>
      </c>
      <c r="I26" s="147">
        <v>0</v>
      </c>
      <c r="J26" s="162">
        <v>0</v>
      </c>
      <c r="K26" s="147">
        <f t="shared" si="2"/>
        <v>0</v>
      </c>
      <c r="L26" s="162">
        <f t="shared" si="3"/>
        <v>7</v>
      </c>
    </row>
    <row r="27" spans="1:12" s="148" customFormat="1" ht="12.75">
      <c r="A27" s="149" t="s">
        <v>231</v>
      </c>
      <c r="B27" s="201" t="s">
        <v>559</v>
      </c>
      <c r="C27" s="202">
        <v>2</v>
      </c>
      <c r="D27" s="162">
        <v>1</v>
      </c>
      <c r="E27" s="203">
        <f t="shared" si="0"/>
        <v>0.5</v>
      </c>
      <c r="F27" s="162">
        <f t="shared" si="1"/>
        <v>1</v>
      </c>
      <c r="G27" s="162">
        <v>1</v>
      </c>
      <c r="H27" s="162">
        <v>0</v>
      </c>
      <c r="I27" s="147">
        <v>0</v>
      </c>
      <c r="J27" s="162">
        <v>0</v>
      </c>
      <c r="K27" s="147">
        <f t="shared" si="2"/>
        <v>0</v>
      </c>
      <c r="L27" s="162">
        <f t="shared" si="3"/>
        <v>2</v>
      </c>
    </row>
    <row r="28" spans="1:12" s="148" customFormat="1" ht="12.75">
      <c r="A28" s="149" t="s">
        <v>232</v>
      </c>
      <c r="B28" s="201" t="s">
        <v>560</v>
      </c>
      <c r="C28" s="202">
        <v>58</v>
      </c>
      <c r="D28" s="162">
        <v>51</v>
      </c>
      <c r="E28" s="203">
        <f t="shared" si="0"/>
        <v>0.8793103448275862</v>
      </c>
      <c r="F28" s="162">
        <f t="shared" si="1"/>
        <v>7</v>
      </c>
      <c r="G28" s="162">
        <v>20</v>
      </c>
      <c r="H28" s="162">
        <v>1</v>
      </c>
      <c r="I28" s="147">
        <v>2</v>
      </c>
      <c r="J28" s="162">
        <v>1</v>
      </c>
      <c r="K28" s="147">
        <f t="shared" si="2"/>
        <v>1</v>
      </c>
      <c r="L28" s="162">
        <f t="shared" si="3"/>
        <v>73</v>
      </c>
    </row>
    <row r="29" spans="1:12" s="148" customFormat="1" ht="12.75">
      <c r="A29" s="149" t="s">
        <v>233</v>
      </c>
      <c r="B29" s="201" t="s">
        <v>561</v>
      </c>
      <c r="C29" s="202">
        <v>41</v>
      </c>
      <c r="D29" s="162">
        <v>36</v>
      </c>
      <c r="E29" s="203">
        <f t="shared" si="0"/>
        <v>0.8780487804878049</v>
      </c>
      <c r="F29" s="162">
        <f t="shared" si="1"/>
        <v>5</v>
      </c>
      <c r="G29" s="162">
        <v>13</v>
      </c>
      <c r="H29" s="162">
        <v>1</v>
      </c>
      <c r="I29" s="147">
        <v>0</v>
      </c>
      <c r="J29" s="162">
        <v>0</v>
      </c>
      <c r="K29" s="147">
        <f t="shared" si="2"/>
        <v>0</v>
      </c>
      <c r="L29" s="162">
        <f t="shared" si="3"/>
        <v>50</v>
      </c>
    </row>
    <row r="30" spans="1:12" s="148" customFormat="1" ht="12.75">
      <c r="A30" s="149" t="s">
        <v>234</v>
      </c>
      <c r="B30" s="201" t="s">
        <v>562</v>
      </c>
      <c r="C30" s="202">
        <v>18</v>
      </c>
      <c r="D30" s="162">
        <v>17</v>
      </c>
      <c r="E30" s="203">
        <f t="shared" si="0"/>
        <v>0.9444444444444444</v>
      </c>
      <c r="F30" s="162">
        <f t="shared" si="1"/>
        <v>1</v>
      </c>
      <c r="G30" s="162">
        <v>2</v>
      </c>
      <c r="H30" s="162">
        <v>0</v>
      </c>
      <c r="I30" s="147">
        <v>0</v>
      </c>
      <c r="J30" s="162">
        <v>0</v>
      </c>
      <c r="K30" s="147">
        <f t="shared" si="2"/>
        <v>0</v>
      </c>
      <c r="L30" s="162">
        <f t="shared" si="3"/>
        <v>19</v>
      </c>
    </row>
    <row r="31" spans="1:12" s="148" customFormat="1" ht="12.75">
      <c r="A31" s="149" t="s">
        <v>235</v>
      </c>
      <c r="B31" s="201" t="s">
        <v>563</v>
      </c>
      <c r="C31" s="202">
        <v>39</v>
      </c>
      <c r="D31" s="162">
        <v>36</v>
      </c>
      <c r="E31" s="203">
        <f t="shared" si="0"/>
        <v>0.9230769230769231</v>
      </c>
      <c r="F31" s="162">
        <f t="shared" si="1"/>
        <v>3</v>
      </c>
      <c r="G31" s="162">
        <v>5</v>
      </c>
      <c r="H31" s="162">
        <v>0</v>
      </c>
      <c r="I31" s="147">
        <v>0</v>
      </c>
      <c r="J31" s="162">
        <v>0</v>
      </c>
      <c r="K31" s="147">
        <f t="shared" si="2"/>
        <v>0</v>
      </c>
      <c r="L31" s="162">
        <f t="shared" si="3"/>
        <v>41</v>
      </c>
    </row>
    <row r="32" spans="1:12" s="148" customFormat="1" ht="12.75">
      <c r="A32" s="149" t="s">
        <v>236</v>
      </c>
      <c r="B32" s="201" t="s">
        <v>564</v>
      </c>
      <c r="C32" s="202">
        <f>22+6</f>
        <v>28</v>
      </c>
      <c r="D32" s="162">
        <v>28</v>
      </c>
      <c r="E32" s="203">
        <f t="shared" si="0"/>
        <v>1</v>
      </c>
      <c r="F32" s="162">
        <f t="shared" si="1"/>
        <v>0</v>
      </c>
      <c r="G32" s="162">
        <v>6</v>
      </c>
      <c r="H32" s="162">
        <v>0</v>
      </c>
      <c r="I32" s="147">
        <v>0</v>
      </c>
      <c r="J32" s="162">
        <v>0</v>
      </c>
      <c r="K32" s="147">
        <f t="shared" si="2"/>
        <v>0</v>
      </c>
      <c r="L32" s="162">
        <f t="shared" si="3"/>
        <v>34</v>
      </c>
    </row>
    <row r="33" spans="1:12" s="148" customFormat="1" ht="12.75">
      <c r="A33" s="149" t="s">
        <v>237</v>
      </c>
      <c r="B33" s="201" t="s">
        <v>565</v>
      </c>
      <c r="C33" s="202">
        <v>24</v>
      </c>
      <c r="D33" s="162">
        <v>17</v>
      </c>
      <c r="E33" s="203">
        <f t="shared" si="0"/>
        <v>0.7083333333333334</v>
      </c>
      <c r="F33" s="162">
        <f t="shared" si="1"/>
        <v>7</v>
      </c>
      <c r="G33" s="162">
        <v>6</v>
      </c>
      <c r="H33" s="162">
        <v>1</v>
      </c>
      <c r="I33" s="147">
        <f>1+1</f>
        <v>2</v>
      </c>
      <c r="J33" s="162">
        <v>2</v>
      </c>
      <c r="K33" s="147">
        <f t="shared" si="2"/>
        <v>0</v>
      </c>
      <c r="L33" s="162">
        <f t="shared" si="3"/>
        <v>26</v>
      </c>
    </row>
    <row r="34" spans="1:12" s="148" customFormat="1" ht="12.75">
      <c r="A34" s="149" t="s">
        <v>238</v>
      </c>
      <c r="B34" s="201" t="s">
        <v>566</v>
      </c>
      <c r="C34" s="202">
        <v>6</v>
      </c>
      <c r="D34" s="162">
        <v>6</v>
      </c>
      <c r="E34" s="203">
        <f t="shared" si="0"/>
        <v>1</v>
      </c>
      <c r="F34" s="162">
        <f t="shared" si="1"/>
        <v>0</v>
      </c>
      <c r="G34" s="162">
        <v>1</v>
      </c>
      <c r="H34" s="162">
        <v>0</v>
      </c>
      <c r="I34" s="147">
        <v>0</v>
      </c>
      <c r="J34" s="162">
        <v>0</v>
      </c>
      <c r="K34" s="147">
        <f t="shared" si="2"/>
        <v>0</v>
      </c>
      <c r="L34" s="162">
        <f t="shared" si="3"/>
        <v>7</v>
      </c>
    </row>
    <row r="35" spans="1:12" s="148" customFormat="1" ht="12.75">
      <c r="A35" s="149" t="s">
        <v>239</v>
      </c>
      <c r="B35" s="201" t="s">
        <v>532</v>
      </c>
      <c r="C35" s="202">
        <v>2</v>
      </c>
      <c r="D35" s="162">
        <v>1</v>
      </c>
      <c r="E35" s="203">
        <f t="shared" si="0"/>
        <v>0.5</v>
      </c>
      <c r="F35" s="162">
        <f t="shared" si="1"/>
        <v>1</v>
      </c>
      <c r="G35" s="162">
        <v>1</v>
      </c>
      <c r="H35" s="162">
        <v>0</v>
      </c>
      <c r="I35" s="147">
        <v>0</v>
      </c>
      <c r="J35" s="162">
        <v>0</v>
      </c>
      <c r="K35" s="147">
        <f t="shared" si="2"/>
        <v>0</v>
      </c>
      <c r="L35" s="162">
        <f t="shared" si="3"/>
        <v>2</v>
      </c>
    </row>
    <row r="36" spans="1:12" s="148" customFormat="1" ht="12.75">
      <c r="A36" s="149" t="s">
        <v>240</v>
      </c>
      <c r="B36" s="201" t="s">
        <v>533</v>
      </c>
      <c r="C36" s="202">
        <v>16</v>
      </c>
      <c r="D36" s="162">
        <v>14</v>
      </c>
      <c r="E36" s="203">
        <f t="shared" si="0"/>
        <v>0.875</v>
      </c>
      <c r="F36" s="162">
        <f t="shared" si="1"/>
        <v>2</v>
      </c>
      <c r="G36" s="162">
        <v>3</v>
      </c>
      <c r="H36" s="162">
        <v>0</v>
      </c>
      <c r="I36" s="147">
        <v>0</v>
      </c>
      <c r="J36" s="162">
        <v>0</v>
      </c>
      <c r="K36" s="147">
        <f t="shared" si="2"/>
        <v>0</v>
      </c>
      <c r="L36" s="162">
        <f t="shared" si="3"/>
        <v>17</v>
      </c>
    </row>
    <row r="37" spans="1:12" s="148" customFormat="1" ht="12.75">
      <c r="A37" s="149" t="s">
        <v>241</v>
      </c>
      <c r="B37" s="201" t="s">
        <v>534</v>
      </c>
      <c r="C37" s="202">
        <v>157</v>
      </c>
      <c r="D37" s="162">
        <v>113</v>
      </c>
      <c r="E37" s="203">
        <f t="shared" si="0"/>
        <v>0.7197452229299363</v>
      </c>
      <c r="F37" s="162">
        <f t="shared" si="1"/>
        <v>44</v>
      </c>
      <c r="G37" s="162">
        <v>45</v>
      </c>
      <c r="H37" s="162">
        <v>4</v>
      </c>
      <c r="I37" s="147">
        <f>1+1</f>
        <v>2</v>
      </c>
      <c r="J37" s="162">
        <v>2</v>
      </c>
      <c r="K37" s="147">
        <f t="shared" si="2"/>
        <v>0</v>
      </c>
      <c r="L37" s="162">
        <f t="shared" si="3"/>
        <v>164</v>
      </c>
    </row>
    <row r="38" spans="1:12" s="148" customFormat="1" ht="12.75">
      <c r="A38" s="149" t="s">
        <v>242</v>
      </c>
      <c r="B38" s="201" t="s">
        <v>535</v>
      </c>
      <c r="C38" s="202">
        <v>83</v>
      </c>
      <c r="D38" s="162">
        <v>72</v>
      </c>
      <c r="E38" s="203">
        <f t="shared" si="0"/>
        <v>0.8674698795180723</v>
      </c>
      <c r="F38" s="162">
        <f t="shared" si="1"/>
        <v>11</v>
      </c>
      <c r="G38" s="162">
        <v>17</v>
      </c>
      <c r="H38" s="162">
        <v>2</v>
      </c>
      <c r="I38" s="147">
        <f>1+1</f>
        <v>2</v>
      </c>
      <c r="J38" s="162">
        <v>1</v>
      </c>
      <c r="K38" s="147">
        <f t="shared" si="2"/>
        <v>1</v>
      </c>
      <c r="L38" s="162">
        <f t="shared" si="3"/>
        <v>92</v>
      </c>
    </row>
    <row r="39" spans="1:12" s="148" customFormat="1" ht="12.75">
      <c r="A39" s="149" t="s">
        <v>243</v>
      </c>
      <c r="B39" s="201" t="s">
        <v>536</v>
      </c>
      <c r="C39" s="202">
        <v>133</v>
      </c>
      <c r="D39" s="162">
        <v>126</v>
      </c>
      <c r="E39" s="203">
        <f t="shared" si="0"/>
        <v>0.9473684210526315</v>
      </c>
      <c r="F39" s="162">
        <f t="shared" si="1"/>
        <v>7</v>
      </c>
      <c r="G39" s="162">
        <v>24</v>
      </c>
      <c r="H39" s="162">
        <v>0</v>
      </c>
      <c r="I39" s="147">
        <f>2+1+1</f>
        <v>4</v>
      </c>
      <c r="J39" s="162">
        <v>4</v>
      </c>
      <c r="K39" s="147">
        <f t="shared" si="2"/>
        <v>0</v>
      </c>
      <c r="L39" s="162">
        <f t="shared" si="3"/>
        <v>154</v>
      </c>
    </row>
    <row r="40" spans="1:12" s="148" customFormat="1" ht="12.75">
      <c r="A40" s="159" t="s">
        <v>244</v>
      </c>
      <c r="B40" s="201" t="s">
        <v>537</v>
      </c>
      <c r="C40" s="202">
        <v>88</v>
      </c>
      <c r="D40" s="162">
        <v>72</v>
      </c>
      <c r="E40" s="203">
        <f t="shared" si="0"/>
        <v>0.8181818181818182</v>
      </c>
      <c r="F40" s="162">
        <f t="shared" si="1"/>
        <v>16</v>
      </c>
      <c r="G40" s="162">
        <v>15</v>
      </c>
      <c r="H40" s="162">
        <v>9</v>
      </c>
      <c r="I40" s="147">
        <v>10</v>
      </c>
      <c r="J40" s="162">
        <v>3</v>
      </c>
      <c r="K40" s="147">
        <f t="shared" si="2"/>
        <v>7</v>
      </c>
      <c r="L40" s="162">
        <f t="shared" si="3"/>
        <v>99</v>
      </c>
    </row>
    <row r="41" spans="1:12" s="148" customFormat="1" ht="12.75">
      <c r="A41" s="159" t="s">
        <v>245</v>
      </c>
      <c r="B41" s="201" t="s">
        <v>538</v>
      </c>
      <c r="C41" s="202">
        <v>4</v>
      </c>
      <c r="D41" s="162">
        <v>3</v>
      </c>
      <c r="E41" s="203">
        <f t="shared" si="0"/>
        <v>0.75</v>
      </c>
      <c r="F41" s="162">
        <f t="shared" si="1"/>
        <v>1</v>
      </c>
      <c r="G41" s="162">
        <v>8</v>
      </c>
      <c r="H41" s="162">
        <v>0</v>
      </c>
      <c r="I41" s="147">
        <v>0</v>
      </c>
      <c r="J41" s="162">
        <v>0</v>
      </c>
      <c r="K41" s="147">
        <f t="shared" si="2"/>
        <v>0</v>
      </c>
      <c r="L41" s="162">
        <f t="shared" si="3"/>
        <v>11</v>
      </c>
    </row>
    <row r="42" spans="1:12" s="148" customFormat="1" ht="12.75">
      <c r="A42" s="159" t="s">
        <v>246</v>
      </c>
      <c r="B42" s="201" t="s">
        <v>539</v>
      </c>
      <c r="C42" s="202">
        <v>503</v>
      </c>
      <c r="D42" s="162">
        <v>456</v>
      </c>
      <c r="E42" s="203">
        <f t="shared" si="0"/>
        <v>0.9065606361829026</v>
      </c>
      <c r="F42" s="162">
        <f t="shared" si="1"/>
        <v>47</v>
      </c>
      <c r="G42" s="162">
        <v>71</v>
      </c>
      <c r="H42" s="162">
        <v>13</v>
      </c>
      <c r="I42" s="147">
        <f>14+1+1</f>
        <v>16</v>
      </c>
      <c r="J42" s="162">
        <v>15</v>
      </c>
      <c r="K42" s="147">
        <f t="shared" si="2"/>
        <v>1</v>
      </c>
      <c r="L42" s="162">
        <f t="shared" si="3"/>
        <v>555</v>
      </c>
    </row>
    <row r="43" spans="1:12" s="148" customFormat="1" ht="12.75">
      <c r="A43" s="159" t="s">
        <v>247</v>
      </c>
      <c r="B43" s="201" t="s">
        <v>540</v>
      </c>
      <c r="C43" s="202">
        <v>2</v>
      </c>
      <c r="D43" s="162">
        <v>1</v>
      </c>
      <c r="E43" s="203">
        <f t="shared" si="0"/>
        <v>0.5</v>
      </c>
      <c r="F43" s="162">
        <f t="shared" si="1"/>
        <v>1</v>
      </c>
      <c r="G43" s="162">
        <v>0</v>
      </c>
      <c r="H43" s="162">
        <v>1</v>
      </c>
      <c r="I43" s="147">
        <v>0</v>
      </c>
      <c r="J43" s="162">
        <v>0</v>
      </c>
      <c r="K43" s="147">
        <f t="shared" si="2"/>
        <v>0</v>
      </c>
      <c r="L43" s="162">
        <f t="shared" si="3"/>
        <v>2</v>
      </c>
    </row>
    <row r="44" spans="2:12" s="40" customFormat="1" ht="12.75">
      <c r="B44" s="49"/>
      <c r="C44" s="89" t="s">
        <v>16</v>
      </c>
      <c r="D44" s="89" t="s">
        <v>16</v>
      </c>
      <c r="E44" s="90" t="s">
        <v>95</v>
      </c>
      <c r="F44" s="89" t="s">
        <v>16</v>
      </c>
      <c r="G44" s="89" t="s">
        <v>16</v>
      </c>
      <c r="H44" s="89" t="s">
        <v>94</v>
      </c>
      <c r="I44" s="89" t="s">
        <v>17</v>
      </c>
      <c r="J44" s="89" t="s">
        <v>16</v>
      </c>
      <c r="K44" s="89" t="s">
        <v>16</v>
      </c>
      <c r="L44" s="89" t="s">
        <v>16</v>
      </c>
    </row>
    <row r="45" spans="2:12" s="40" customFormat="1" ht="12.75">
      <c r="B45" s="50" t="s">
        <v>182</v>
      </c>
      <c r="C45" s="64">
        <f>SUM(C6:C43)</f>
        <v>2094</v>
      </c>
      <c r="D45" s="64">
        <f>SUM(D6:D43)</f>
        <v>1879</v>
      </c>
      <c r="E45" s="133">
        <f>D45/C45</f>
        <v>0.8973256924546322</v>
      </c>
      <c r="F45" s="64">
        <f aca="true" t="shared" si="4" ref="F45:L45">SUM(F6:F43)</f>
        <v>215</v>
      </c>
      <c r="G45" s="64">
        <f t="shared" si="4"/>
        <v>456</v>
      </c>
      <c r="H45" s="64">
        <f t="shared" si="4"/>
        <v>57</v>
      </c>
      <c r="I45" s="64">
        <f t="shared" si="4"/>
        <v>50</v>
      </c>
      <c r="J45" s="64">
        <f t="shared" si="4"/>
        <v>40</v>
      </c>
      <c r="K45" s="64">
        <f t="shared" si="4"/>
        <v>10</v>
      </c>
      <c r="L45" s="64">
        <f t="shared" si="4"/>
        <v>2432</v>
      </c>
    </row>
    <row r="46" spans="2:12" s="40" customFormat="1" ht="12">
      <c r="B46" s="45"/>
      <c r="C46" s="91"/>
      <c r="D46" s="91"/>
      <c r="E46" s="91"/>
      <c r="F46" s="91" t="s">
        <v>34</v>
      </c>
      <c r="G46" s="91"/>
      <c r="H46" s="91"/>
      <c r="I46" s="91"/>
      <c r="J46" s="91"/>
      <c r="K46" s="91" t="s">
        <v>34</v>
      </c>
      <c r="L46" s="91"/>
    </row>
    <row r="47" spans="2:12" s="40" customFormat="1" ht="12">
      <c r="B47" s="45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2:12" s="40" customFormat="1" ht="12">
      <c r="B48" s="45"/>
      <c r="C48" s="53"/>
      <c r="D48" s="92" t="s">
        <v>622</v>
      </c>
      <c r="E48" s="53"/>
      <c r="F48" s="53"/>
      <c r="G48" s="53"/>
      <c r="H48" s="53"/>
      <c r="I48" s="53" t="s">
        <v>34</v>
      </c>
      <c r="J48" s="53"/>
      <c r="K48" s="53"/>
      <c r="L48" s="175"/>
    </row>
    <row r="49" spans="2:12" s="40" customFormat="1" ht="12">
      <c r="B49" s="45"/>
      <c r="C49" s="53"/>
      <c r="D49" s="53"/>
      <c r="E49" s="53"/>
      <c r="F49" s="53"/>
      <c r="G49" s="53"/>
      <c r="H49" s="53"/>
      <c r="I49" s="53"/>
      <c r="J49" s="53"/>
      <c r="K49" s="53"/>
      <c r="L49" s="175"/>
    </row>
    <row r="50" spans="2:12" s="40" customFormat="1" ht="12.75">
      <c r="B50" s="48" t="s">
        <v>18</v>
      </c>
      <c r="C50" s="53"/>
      <c r="D50" s="195">
        <f>C45</f>
        <v>2094</v>
      </c>
      <c r="E50" s="53"/>
      <c r="F50" s="181" t="s">
        <v>34</v>
      </c>
      <c r="G50" s="53"/>
      <c r="H50" s="101"/>
      <c r="I50" s="53"/>
      <c r="J50" s="53"/>
      <c r="K50" s="53"/>
      <c r="L50" s="87"/>
    </row>
    <row r="51" spans="2:12" s="40" customFormat="1" ht="12.75">
      <c r="B51" s="75" t="s">
        <v>623</v>
      </c>
      <c r="C51" s="79"/>
      <c r="D51" s="195">
        <f>L45-SUM(D55:D56)-D52</f>
        <v>1879</v>
      </c>
      <c r="E51" s="53"/>
      <c r="F51" s="53"/>
      <c r="G51" s="53"/>
      <c r="H51" s="101"/>
      <c r="I51" s="53"/>
      <c r="J51" s="53"/>
      <c r="K51" s="53"/>
      <c r="L51" s="87"/>
    </row>
    <row r="52" spans="2:12" s="40" customFormat="1" ht="12.75">
      <c r="B52" s="51" t="s">
        <v>19</v>
      </c>
      <c r="C52" s="53"/>
      <c r="D52" s="195">
        <f>H45</f>
        <v>57</v>
      </c>
      <c r="E52" s="53"/>
      <c r="F52" s="53"/>
      <c r="G52" s="53"/>
      <c r="H52" s="101"/>
      <c r="I52" s="53"/>
      <c r="J52" s="53"/>
      <c r="K52" s="53"/>
      <c r="L52" s="87"/>
    </row>
    <row r="53" spans="2:12" s="40" customFormat="1" ht="12.75">
      <c r="B53" s="51" t="s">
        <v>20</v>
      </c>
      <c r="C53" s="53"/>
      <c r="D53" s="196">
        <f>D51/D50</f>
        <v>0.8973256924546322</v>
      </c>
      <c r="E53" s="53"/>
      <c r="F53" s="53"/>
      <c r="G53" s="53"/>
      <c r="H53" s="101"/>
      <c r="I53" s="53"/>
      <c r="J53" s="53"/>
      <c r="K53" s="53"/>
      <c r="L53" s="87"/>
    </row>
    <row r="54" spans="2:12" s="40" customFormat="1" ht="12">
      <c r="B54" s="45"/>
      <c r="C54" s="53"/>
      <c r="D54" s="76"/>
      <c r="E54" s="53"/>
      <c r="F54" s="53"/>
      <c r="G54" s="53"/>
      <c r="H54" s="99"/>
      <c r="I54" s="53"/>
      <c r="J54" s="53"/>
      <c r="K54" s="53"/>
      <c r="L54" s="87"/>
    </row>
    <row r="55" spans="2:12" ht="12.75">
      <c r="B55" s="45" t="s">
        <v>22</v>
      </c>
      <c r="C55" s="53"/>
      <c r="D55" s="195">
        <f>G45</f>
        <v>456</v>
      </c>
      <c r="E55" s="53"/>
      <c r="F55" s="111"/>
      <c r="G55" s="53"/>
      <c r="H55" s="101"/>
      <c r="I55" s="53"/>
      <c r="J55" s="53"/>
      <c r="K55" s="53"/>
      <c r="L55" s="87"/>
    </row>
    <row r="56" spans="2:12" ht="12.75">
      <c r="B56" s="45" t="s">
        <v>23</v>
      </c>
      <c r="C56" s="53"/>
      <c r="D56" s="195">
        <f>J45</f>
        <v>40</v>
      </c>
      <c r="E56" s="53"/>
      <c r="F56" s="111"/>
      <c r="G56" s="53"/>
      <c r="H56" s="101"/>
      <c r="I56" s="53"/>
      <c r="J56" s="53"/>
      <c r="K56" s="53"/>
      <c r="L56" s="87"/>
    </row>
    <row r="57" spans="2:12" ht="12">
      <c r="B57" s="45"/>
      <c r="C57" s="53"/>
      <c r="D57" s="79"/>
      <c r="E57" s="53"/>
      <c r="F57" s="112"/>
      <c r="G57" s="53"/>
      <c r="H57" s="53"/>
      <c r="I57" s="53"/>
      <c r="J57" s="53"/>
      <c r="K57" s="53"/>
      <c r="L57" s="87"/>
    </row>
    <row r="58" spans="2:12" ht="12.75">
      <c r="B58" s="54" t="s">
        <v>147</v>
      </c>
      <c r="C58" s="53"/>
      <c r="D58" s="195">
        <f>D51+D52+D55+D56</f>
        <v>2432</v>
      </c>
      <c r="E58" s="53"/>
      <c r="F58" s="111"/>
      <c r="G58" s="53"/>
      <c r="H58" s="101"/>
      <c r="I58" s="53"/>
      <c r="J58" s="53"/>
      <c r="K58" s="53"/>
      <c r="L58" s="87"/>
    </row>
    <row r="59" spans="2:12" ht="15">
      <c r="B59" s="211" t="s">
        <v>668</v>
      </c>
      <c r="C59" s="53"/>
      <c r="D59" s="79"/>
      <c r="E59" s="53"/>
      <c r="F59" s="53"/>
      <c r="G59" s="53"/>
      <c r="H59" s="53"/>
      <c r="I59" s="53"/>
      <c r="J59" s="53"/>
      <c r="K59" s="53"/>
      <c r="L59" s="87"/>
    </row>
    <row r="60" spans="1:12" ht="12">
      <c r="A60" s="5" t="s">
        <v>691</v>
      </c>
      <c r="B60" s="25" t="s">
        <v>692</v>
      </c>
      <c r="E60" s="44"/>
      <c r="F60" s="44"/>
      <c r="G60" s="44"/>
      <c r="H60" s="44"/>
      <c r="I60" s="44"/>
      <c r="J60" s="44"/>
      <c r="K60" s="44"/>
      <c r="L60" s="70"/>
    </row>
    <row r="61" spans="2:12" ht="12">
      <c r="B61" s="45"/>
      <c r="C61" s="53"/>
      <c r="D61" s="53"/>
      <c r="E61" s="53"/>
      <c r="F61" s="53"/>
      <c r="G61" s="53"/>
      <c r="H61" s="53"/>
      <c r="I61" s="53"/>
      <c r="J61" s="53"/>
      <c r="K61" s="53"/>
      <c r="L61" s="87"/>
    </row>
    <row r="62" spans="2:12" ht="12">
      <c r="B62" s="45"/>
      <c r="C62" s="53"/>
      <c r="D62" s="53"/>
      <c r="E62" s="53"/>
      <c r="F62" s="53"/>
      <c r="G62" s="53"/>
      <c r="H62" s="53"/>
      <c r="I62" s="53"/>
      <c r="J62" s="53"/>
      <c r="K62" s="53"/>
      <c r="L62" s="87"/>
    </row>
    <row r="63" spans="2:12" ht="12">
      <c r="B63" s="45"/>
      <c r="C63" s="53"/>
      <c r="D63" s="53"/>
      <c r="E63" s="53"/>
      <c r="F63" s="53"/>
      <c r="G63" s="53"/>
      <c r="H63" s="53"/>
      <c r="I63" s="53"/>
      <c r="J63" s="53"/>
      <c r="K63" s="53"/>
      <c r="L63" s="87"/>
    </row>
    <row r="64" spans="2:12" ht="12">
      <c r="B64" s="45"/>
      <c r="C64" s="53"/>
      <c r="D64" s="53"/>
      <c r="E64" s="53"/>
      <c r="F64" s="53"/>
      <c r="G64" s="53"/>
      <c r="H64" s="53"/>
      <c r="I64" s="53"/>
      <c r="J64" s="53"/>
      <c r="K64" s="53"/>
      <c r="L64" s="87"/>
    </row>
    <row r="65" spans="2:12" ht="12">
      <c r="B65" s="45"/>
      <c r="C65" s="53"/>
      <c r="D65" s="53"/>
      <c r="E65" s="53"/>
      <c r="F65" s="53"/>
      <c r="G65" s="53"/>
      <c r="H65" s="53"/>
      <c r="I65" s="53"/>
      <c r="J65" s="53"/>
      <c r="K65" s="53"/>
      <c r="L65" s="87"/>
    </row>
    <row r="66" spans="2:12" ht="12">
      <c r="B66" s="45"/>
      <c r="C66" s="53"/>
      <c r="D66" s="53"/>
      <c r="E66" s="53"/>
      <c r="F66" s="53"/>
      <c r="G66" s="53"/>
      <c r="H66" s="53"/>
      <c r="I66" s="53"/>
      <c r="J66" s="53"/>
      <c r="K66" s="53"/>
      <c r="L66" s="87"/>
    </row>
    <row r="67" spans="2:12" ht="12">
      <c r="B67" s="45"/>
      <c r="C67" s="53"/>
      <c r="D67" s="53"/>
      <c r="E67" s="53"/>
      <c r="F67" s="53"/>
      <c r="G67" s="53"/>
      <c r="H67" s="53"/>
      <c r="I67" s="53"/>
      <c r="J67" s="53"/>
      <c r="K67" s="53"/>
      <c r="L67" s="87"/>
    </row>
    <row r="68" spans="2:12" ht="12">
      <c r="B68" s="45"/>
      <c r="C68" s="53"/>
      <c r="D68" s="53"/>
      <c r="E68" s="53"/>
      <c r="F68" s="53"/>
      <c r="G68" s="53"/>
      <c r="H68" s="53"/>
      <c r="I68" s="53"/>
      <c r="J68" s="53"/>
      <c r="K68" s="53"/>
      <c r="L68" s="87"/>
    </row>
    <row r="69" spans="2:12" ht="12">
      <c r="B69" s="45"/>
      <c r="C69" s="53"/>
      <c r="D69" s="53"/>
      <c r="E69" s="53"/>
      <c r="F69" s="53"/>
      <c r="G69" s="53"/>
      <c r="H69" s="53"/>
      <c r="I69" s="53"/>
      <c r="J69" s="53"/>
      <c r="K69" s="53"/>
      <c r="L69" s="87"/>
    </row>
    <row r="70" spans="2:12" ht="12">
      <c r="B70" s="45"/>
      <c r="C70" s="53"/>
      <c r="D70" s="53"/>
      <c r="E70" s="53"/>
      <c r="F70" s="53"/>
      <c r="G70" s="53"/>
      <c r="H70" s="53"/>
      <c r="I70" s="53"/>
      <c r="J70" s="53"/>
      <c r="K70" s="53"/>
      <c r="L70" s="87"/>
    </row>
    <row r="71" spans="2:12" ht="12">
      <c r="B71" s="45"/>
      <c r="C71" s="53"/>
      <c r="D71" s="53"/>
      <c r="E71" s="53"/>
      <c r="F71" s="53"/>
      <c r="G71" s="53"/>
      <c r="H71" s="53"/>
      <c r="I71" s="53"/>
      <c r="J71" s="53"/>
      <c r="K71" s="53"/>
      <c r="L71" s="87"/>
    </row>
    <row r="72" spans="2:12" ht="12">
      <c r="B72" s="45"/>
      <c r="C72" s="53"/>
      <c r="D72" s="53"/>
      <c r="E72" s="53"/>
      <c r="F72" s="53"/>
      <c r="G72" s="53"/>
      <c r="H72" s="53"/>
      <c r="I72" s="53"/>
      <c r="J72" s="53"/>
      <c r="K72" s="53"/>
      <c r="L72" s="87"/>
    </row>
    <row r="73" spans="2:12" ht="12">
      <c r="B73" s="45"/>
      <c r="C73" s="53"/>
      <c r="D73" s="53"/>
      <c r="E73" s="53"/>
      <c r="F73" s="53"/>
      <c r="G73" s="53"/>
      <c r="H73" s="53"/>
      <c r="I73" s="53"/>
      <c r="J73" s="53"/>
      <c r="K73" s="53"/>
      <c r="L73" s="87"/>
    </row>
    <row r="74" spans="2:12" ht="12">
      <c r="B74" s="45"/>
      <c r="C74" s="53"/>
      <c r="D74" s="53"/>
      <c r="E74" s="53"/>
      <c r="F74" s="53"/>
      <c r="G74" s="53"/>
      <c r="H74" s="53"/>
      <c r="I74" s="53"/>
      <c r="J74" s="53"/>
      <c r="K74" s="53"/>
      <c r="L74" s="87"/>
    </row>
    <row r="75" spans="2:12" ht="12">
      <c r="B75" s="45"/>
      <c r="C75" s="53"/>
      <c r="D75" s="53"/>
      <c r="E75" s="53"/>
      <c r="F75" s="53"/>
      <c r="G75" s="53"/>
      <c r="H75" s="53"/>
      <c r="I75" s="53"/>
      <c r="J75" s="53"/>
      <c r="K75" s="53"/>
      <c r="L75" s="87"/>
    </row>
  </sheetData>
  <printOptions gridLines="1" horizontalCentered="1"/>
  <pageMargins left="0.25" right="0.26" top="0.65" bottom="0.32" header="0.38" footer="0.16"/>
  <pageSetup horizontalDpi="300" verticalDpi="300" orientation="portrait" scale="73" r:id="rId1"/>
  <headerFooter alignWithMargins="0">
    <oddHeader>&amp;C&amp;12Month Ending June 30, 2010
</oddHeader>
    <oddFooter>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workbookViewId="0" topLeftCell="A1">
      <selection activeCell="I51" sqref="I51"/>
    </sheetView>
  </sheetViews>
  <sheetFormatPr defaultColWidth="9.140625" defaultRowHeight="12.75"/>
  <cols>
    <col min="1" max="1" width="8.57421875" style="25" customWidth="1"/>
    <col min="2" max="2" width="30.421875" style="25" customWidth="1"/>
    <col min="3" max="3" width="7.140625" style="25" customWidth="1"/>
    <col min="4" max="4" width="9.8515625" style="25" customWidth="1"/>
    <col min="5" max="5" width="9.7109375" style="25" customWidth="1"/>
    <col min="6" max="6" width="9.421875" style="25" customWidth="1"/>
    <col min="7" max="8" width="9.57421875" style="25" customWidth="1"/>
    <col min="9" max="9" width="9.421875" style="25" customWidth="1"/>
    <col min="10" max="10" width="7.57421875" style="25" customWidth="1"/>
    <col min="11" max="11" width="7.421875" style="25" customWidth="1"/>
    <col min="12" max="12" width="11.57421875" style="74" customWidth="1"/>
    <col min="13" max="16384" width="9.140625" style="25" customWidth="1"/>
  </cols>
  <sheetData>
    <row r="1" spans="1:12" s="67" customFormat="1" ht="12">
      <c r="A1" s="86" t="s">
        <v>694</v>
      </c>
      <c r="B1" s="102"/>
      <c r="C1" s="67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</row>
    <row r="2" spans="1:12" s="68" customFormat="1" ht="51">
      <c r="A2" s="71" t="s">
        <v>191</v>
      </c>
      <c r="B2" s="71" t="s">
        <v>190</v>
      </c>
      <c r="C2" s="72" t="s">
        <v>509</v>
      </c>
      <c r="D2" s="72" t="s">
        <v>305</v>
      </c>
      <c r="E2" s="72" t="s">
        <v>186</v>
      </c>
      <c r="F2" s="72" t="s">
        <v>187</v>
      </c>
      <c r="G2" s="72" t="s">
        <v>306</v>
      </c>
      <c r="H2" s="72" t="s">
        <v>621</v>
      </c>
      <c r="I2" s="72" t="s">
        <v>510</v>
      </c>
      <c r="J2" s="72" t="s">
        <v>188</v>
      </c>
      <c r="K2" s="72" t="s">
        <v>189</v>
      </c>
      <c r="L2" s="210" t="s">
        <v>667</v>
      </c>
    </row>
    <row r="3" spans="2:12" s="67" customFormat="1" ht="12">
      <c r="B3" s="88"/>
      <c r="C3" s="56"/>
      <c r="D3" s="56"/>
      <c r="E3" s="56"/>
      <c r="F3" s="56"/>
      <c r="G3" s="56"/>
      <c r="H3" s="95"/>
      <c r="I3" s="55"/>
      <c r="J3" s="96"/>
      <c r="K3" s="97"/>
      <c r="L3" s="56"/>
    </row>
    <row r="4" spans="1:12" ht="12">
      <c r="A4" s="91" t="s">
        <v>171</v>
      </c>
      <c r="C4" s="53"/>
      <c r="D4" s="53"/>
      <c r="E4" s="53"/>
      <c r="F4" s="53"/>
      <c r="G4" s="53"/>
      <c r="H4" s="53"/>
      <c r="I4" s="53"/>
      <c r="J4" s="53"/>
      <c r="K4" s="87"/>
      <c r="L4" s="53"/>
    </row>
    <row r="5" spans="2:13" ht="12.75">
      <c r="B5" s="53" t="s">
        <v>34</v>
      </c>
      <c r="C5" s="123"/>
      <c r="D5" s="123"/>
      <c r="E5" s="128"/>
      <c r="F5" s="123"/>
      <c r="G5" s="123"/>
      <c r="H5" s="123"/>
      <c r="I5" s="123"/>
      <c r="J5" s="123"/>
      <c r="K5" s="123"/>
      <c r="L5" s="130"/>
      <c r="M5" s="170"/>
    </row>
    <row r="6" spans="1:13" s="108" customFormat="1" ht="12.75">
      <c r="A6" s="127">
        <v>137503</v>
      </c>
      <c r="B6" s="170" t="s">
        <v>567</v>
      </c>
      <c r="C6" s="169">
        <f>53+1+2+1</f>
        <v>57</v>
      </c>
      <c r="D6" s="162">
        <v>56</v>
      </c>
      <c r="E6" s="203">
        <f>D6/C6</f>
        <v>0.9824561403508771</v>
      </c>
      <c r="F6" s="162">
        <f aca="true" t="shared" si="0" ref="F6:F38">C6-D6</f>
        <v>1</v>
      </c>
      <c r="G6" s="162">
        <v>122</v>
      </c>
      <c r="H6" s="162">
        <v>1</v>
      </c>
      <c r="I6" s="169">
        <v>1</v>
      </c>
      <c r="J6" s="162">
        <v>1</v>
      </c>
      <c r="K6" s="123">
        <f>I6-J6</f>
        <v>0</v>
      </c>
      <c r="L6" s="162">
        <f>D6+G6+H6+J6</f>
        <v>180</v>
      </c>
      <c r="M6" s="169"/>
    </row>
    <row r="7" spans="1:13" s="108" customFormat="1" ht="12.75">
      <c r="A7" s="127">
        <v>137504</v>
      </c>
      <c r="B7" s="170" t="s">
        <v>568</v>
      </c>
      <c r="C7" s="169">
        <v>109</v>
      </c>
      <c r="D7" s="162">
        <v>108</v>
      </c>
      <c r="E7" s="203">
        <f aca="true" t="shared" si="1" ref="E7:E38">D7/C7</f>
        <v>0.9908256880733946</v>
      </c>
      <c r="F7" s="162">
        <f t="shared" si="0"/>
        <v>1</v>
      </c>
      <c r="G7" s="162">
        <v>213</v>
      </c>
      <c r="H7" s="162">
        <v>5</v>
      </c>
      <c r="I7" s="169">
        <v>15</v>
      </c>
      <c r="J7" s="162">
        <v>6</v>
      </c>
      <c r="K7" s="123">
        <f aca="true" t="shared" si="2" ref="K7:K37">I7-J7</f>
        <v>9</v>
      </c>
      <c r="L7" s="162">
        <f aca="true" t="shared" si="3" ref="L7:L37">D7+G7+H7+J7</f>
        <v>332</v>
      </c>
      <c r="M7" s="169"/>
    </row>
    <row r="8" spans="1:13" s="146" customFormat="1" ht="12.75">
      <c r="A8" s="127">
        <v>137505</v>
      </c>
      <c r="B8" s="170" t="s">
        <v>569</v>
      </c>
      <c r="C8" s="169">
        <v>59</v>
      </c>
      <c r="D8" s="162">
        <v>25</v>
      </c>
      <c r="E8" s="203">
        <f t="shared" si="1"/>
        <v>0.423728813559322</v>
      </c>
      <c r="F8" s="162">
        <f t="shared" si="0"/>
        <v>34</v>
      </c>
      <c r="G8" s="162">
        <v>9</v>
      </c>
      <c r="H8" s="162">
        <v>5</v>
      </c>
      <c r="I8" s="169">
        <v>19</v>
      </c>
      <c r="J8" s="162">
        <v>1</v>
      </c>
      <c r="K8" s="123">
        <f t="shared" si="2"/>
        <v>18</v>
      </c>
      <c r="L8" s="162">
        <f t="shared" si="3"/>
        <v>40</v>
      </c>
      <c r="M8" s="169"/>
    </row>
    <row r="9" spans="1:13" s="108" customFormat="1" ht="12.75">
      <c r="A9" s="220" t="s">
        <v>674</v>
      </c>
      <c r="B9" s="168" t="s">
        <v>675</v>
      </c>
      <c r="C9" s="215">
        <v>1</v>
      </c>
      <c r="D9" s="162">
        <v>0</v>
      </c>
      <c r="E9" s="214">
        <f t="shared" si="1"/>
        <v>0</v>
      </c>
      <c r="F9" s="169">
        <f t="shared" si="0"/>
        <v>1</v>
      </c>
      <c r="G9" s="162">
        <v>0</v>
      </c>
      <c r="H9" s="162">
        <v>0</v>
      </c>
      <c r="I9" s="215">
        <v>0</v>
      </c>
      <c r="J9" s="162">
        <v>0</v>
      </c>
      <c r="K9" s="123">
        <f t="shared" si="2"/>
        <v>0</v>
      </c>
      <c r="L9" s="169">
        <f t="shared" si="3"/>
        <v>0</v>
      </c>
      <c r="M9" s="169"/>
    </row>
    <row r="10" spans="1:13" s="108" customFormat="1" ht="12.75">
      <c r="A10" s="127" t="s">
        <v>248</v>
      </c>
      <c r="B10" s="170" t="s">
        <v>570</v>
      </c>
      <c r="C10" s="169">
        <v>1</v>
      </c>
      <c r="D10" s="162">
        <v>1</v>
      </c>
      <c r="E10" s="203">
        <f t="shared" si="1"/>
        <v>1</v>
      </c>
      <c r="F10" s="169">
        <f t="shared" si="0"/>
        <v>0</v>
      </c>
      <c r="G10" s="162">
        <v>0</v>
      </c>
      <c r="H10" s="162">
        <v>0</v>
      </c>
      <c r="I10" s="169">
        <v>0</v>
      </c>
      <c r="J10" s="162">
        <v>0</v>
      </c>
      <c r="K10" s="123">
        <f t="shared" si="2"/>
        <v>0</v>
      </c>
      <c r="L10" s="169">
        <f t="shared" si="3"/>
        <v>1</v>
      </c>
      <c r="M10" s="169"/>
    </row>
    <row r="11" spans="1:13" s="108" customFormat="1" ht="12.75">
      <c r="A11" s="127" t="s">
        <v>249</v>
      </c>
      <c r="B11" s="170" t="s">
        <v>571</v>
      </c>
      <c r="C11" s="169">
        <v>5</v>
      </c>
      <c r="D11" s="162">
        <v>4</v>
      </c>
      <c r="E11" s="203">
        <f t="shared" si="1"/>
        <v>0.8</v>
      </c>
      <c r="F11" s="169">
        <f t="shared" si="0"/>
        <v>1</v>
      </c>
      <c r="G11" s="162">
        <v>2</v>
      </c>
      <c r="H11" s="162">
        <v>2</v>
      </c>
      <c r="I11" s="169">
        <v>0</v>
      </c>
      <c r="J11" s="162">
        <v>0</v>
      </c>
      <c r="K11" s="123">
        <f t="shared" si="2"/>
        <v>0</v>
      </c>
      <c r="L11" s="169">
        <f t="shared" si="3"/>
        <v>8</v>
      </c>
      <c r="M11" s="169"/>
    </row>
    <row r="12" spans="1:13" s="108" customFormat="1" ht="12.75">
      <c r="A12" s="127" t="s">
        <v>250</v>
      </c>
      <c r="B12" s="170" t="s">
        <v>572</v>
      </c>
      <c r="C12" s="169">
        <v>6</v>
      </c>
      <c r="D12" s="162">
        <v>5</v>
      </c>
      <c r="E12" s="203">
        <f t="shared" si="1"/>
        <v>0.8333333333333334</v>
      </c>
      <c r="F12" s="169">
        <f t="shared" si="0"/>
        <v>1</v>
      </c>
      <c r="G12" s="162">
        <v>5</v>
      </c>
      <c r="H12" s="162">
        <v>0</v>
      </c>
      <c r="I12" s="169">
        <v>0</v>
      </c>
      <c r="J12" s="162">
        <v>0</v>
      </c>
      <c r="K12" s="123">
        <f t="shared" si="2"/>
        <v>0</v>
      </c>
      <c r="L12" s="169">
        <f t="shared" si="3"/>
        <v>10</v>
      </c>
      <c r="M12" s="169"/>
    </row>
    <row r="13" spans="1:13" s="108" customFormat="1" ht="12.75">
      <c r="A13" s="127" t="s">
        <v>320</v>
      </c>
      <c r="B13" s="170" t="s">
        <v>573</v>
      </c>
      <c r="C13" s="169">
        <v>1</v>
      </c>
      <c r="D13" s="162">
        <v>1</v>
      </c>
      <c r="E13" s="203">
        <f t="shared" si="1"/>
        <v>1</v>
      </c>
      <c r="F13" s="169">
        <f t="shared" si="0"/>
        <v>0</v>
      </c>
      <c r="G13" s="162">
        <v>0</v>
      </c>
      <c r="H13" s="162">
        <v>0</v>
      </c>
      <c r="I13" s="169">
        <v>0</v>
      </c>
      <c r="J13" s="162">
        <v>0</v>
      </c>
      <c r="K13" s="123">
        <f t="shared" si="2"/>
        <v>0</v>
      </c>
      <c r="L13" s="169">
        <f t="shared" si="3"/>
        <v>1</v>
      </c>
      <c r="M13" s="169"/>
    </row>
    <row r="14" spans="1:13" s="108" customFormat="1" ht="12.75">
      <c r="A14" s="127" t="s">
        <v>251</v>
      </c>
      <c r="B14" s="170" t="s">
        <v>574</v>
      </c>
      <c r="C14" s="169">
        <v>2</v>
      </c>
      <c r="D14" s="162">
        <v>2</v>
      </c>
      <c r="E14" s="203">
        <f t="shared" si="1"/>
        <v>1</v>
      </c>
      <c r="F14" s="169">
        <f t="shared" si="0"/>
        <v>0</v>
      </c>
      <c r="G14" s="162">
        <v>0</v>
      </c>
      <c r="H14" s="162">
        <v>0</v>
      </c>
      <c r="I14" s="169">
        <v>0</v>
      </c>
      <c r="J14" s="162">
        <v>0</v>
      </c>
      <c r="K14" s="123">
        <f t="shared" si="2"/>
        <v>0</v>
      </c>
      <c r="L14" s="169">
        <f t="shared" si="3"/>
        <v>2</v>
      </c>
      <c r="M14" s="169"/>
    </row>
    <row r="15" spans="1:13" s="108" customFormat="1" ht="12.75">
      <c r="A15" s="127" t="s">
        <v>252</v>
      </c>
      <c r="B15" s="170" t="s">
        <v>655</v>
      </c>
      <c r="C15" s="169">
        <f>11+21+1+8</f>
        <v>41</v>
      </c>
      <c r="D15" s="162">
        <v>41</v>
      </c>
      <c r="E15" s="203">
        <f t="shared" si="1"/>
        <v>1</v>
      </c>
      <c r="F15" s="169">
        <f t="shared" si="0"/>
        <v>0</v>
      </c>
      <c r="G15" s="162">
        <v>60</v>
      </c>
      <c r="H15" s="162">
        <v>1</v>
      </c>
      <c r="I15" s="169">
        <v>1</v>
      </c>
      <c r="J15" s="162">
        <v>0</v>
      </c>
      <c r="K15" s="123">
        <f t="shared" si="2"/>
        <v>1</v>
      </c>
      <c r="L15" s="169">
        <f t="shared" si="3"/>
        <v>102</v>
      </c>
      <c r="M15" s="169"/>
    </row>
    <row r="16" spans="1:13" s="108" customFormat="1" ht="12.75">
      <c r="A16" s="127" t="s">
        <v>253</v>
      </c>
      <c r="B16" s="170" t="s">
        <v>575</v>
      </c>
      <c r="C16" s="169">
        <v>95</v>
      </c>
      <c r="D16" s="162">
        <v>84</v>
      </c>
      <c r="E16" s="203">
        <f t="shared" si="1"/>
        <v>0.8842105263157894</v>
      </c>
      <c r="F16" s="169">
        <f t="shared" si="0"/>
        <v>11</v>
      </c>
      <c r="G16" s="162">
        <v>27</v>
      </c>
      <c r="H16" s="162">
        <v>2</v>
      </c>
      <c r="I16" s="169">
        <v>0</v>
      </c>
      <c r="J16" s="162">
        <v>0</v>
      </c>
      <c r="K16" s="123">
        <f t="shared" si="2"/>
        <v>0</v>
      </c>
      <c r="L16" s="169">
        <f t="shared" si="3"/>
        <v>113</v>
      </c>
      <c r="M16" s="169"/>
    </row>
    <row r="17" spans="1:13" ht="12.75">
      <c r="A17" s="127" t="s">
        <v>254</v>
      </c>
      <c r="B17" s="170" t="s">
        <v>576</v>
      </c>
      <c r="C17" s="169">
        <v>31</v>
      </c>
      <c r="D17" s="162">
        <v>27</v>
      </c>
      <c r="E17" s="203">
        <f t="shared" si="1"/>
        <v>0.8709677419354839</v>
      </c>
      <c r="F17" s="169">
        <f t="shared" si="0"/>
        <v>4</v>
      </c>
      <c r="G17" s="162">
        <v>80</v>
      </c>
      <c r="H17" s="162">
        <v>3</v>
      </c>
      <c r="I17" s="169">
        <v>2</v>
      </c>
      <c r="J17" s="162">
        <v>2</v>
      </c>
      <c r="K17" s="123">
        <f t="shared" si="2"/>
        <v>0</v>
      </c>
      <c r="L17" s="169">
        <f t="shared" si="3"/>
        <v>112</v>
      </c>
      <c r="M17" s="169"/>
    </row>
    <row r="18" spans="1:13" ht="12.75">
      <c r="A18" s="127" t="s">
        <v>255</v>
      </c>
      <c r="B18" s="170" t="s">
        <v>577</v>
      </c>
      <c r="C18" s="169">
        <v>14</v>
      </c>
      <c r="D18" s="162">
        <v>13</v>
      </c>
      <c r="E18" s="203">
        <f t="shared" si="1"/>
        <v>0.9285714285714286</v>
      </c>
      <c r="F18" s="169">
        <f t="shared" si="0"/>
        <v>1</v>
      </c>
      <c r="G18" s="162">
        <v>0</v>
      </c>
      <c r="H18" s="162">
        <v>1</v>
      </c>
      <c r="I18" s="169">
        <v>0</v>
      </c>
      <c r="J18" s="162">
        <v>0</v>
      </c>
      <c r="K18" s="123">
        <f t="shared" si="2"/>
        <v>0</v>
      </c>
      <c r="L18" s="169">
        <f t="shared" si="3"/>
        <v>14</v>
      </c>
      <c r="M18" s="169"/>
    </row>
    <row r="19" spans="1:13" ht="12.75">
      <c r="A19" s="127" t="s">
        <v>256</v>
      </c>
      <c r="B19" s="170" t="s">
        <v>578</v>
      </c>
      <c r="C19" s="169">
        <v>2</v>
      </c>
      <c r="D19" s="162">
        <v>2</v>
      </c>
      <c r="E19" s="203">
        <f t="shared" si="1"/>
        <v>1</v>
      </c>
      <c r="F19" s="169">
        <f t="shared" si="0"/>
        <v>0</v>
      </c>
      <c r="G19" s="162">
        <v>0</v>
      </c>
      <c r="H19" s="162">
        <v>0</v>
      </c>
      <c r="I19" s="169">
        <v>0</v>
      </c>
      <c r="J19" s="162">
        <v>0</v>
      </c>
      <c r="K19" s="123">
        <f t="shared" si="2"/>
        <v>0</v>
      </c>
      <c r="L19" s="169">
        <f t="shared" si="3"/>
        <v>2</v>
      </c>
      <c r="M19" s="169"/>
    </row>
    <row r="20" spans="1:13" ht="12.75">
      <c r="A20" s="127" t="s">
        <v>257</v>
      </c>
      <c r="B20" s="170" t="s">
        <v>579</v>
      </c>
      <c r="C20" s="169">
        <f>3+4+3</f>
        <v>10</v>
      </c>
      <c r="D20" s="162">
        <v>10</v>
      </c>
      <c r="E20" s="203">
        <f t="shared" si="1"/>
        <v>1</v>
      </c>
      <c r="F20" s="169">
        <f t="shared" si="0"/>
        <v>0</v>
      </c>
      <c r="G20" s="162">
        <v>66</v>
      </c>
      <c r="H20" s="162">
        <v>1</v>
      </c>
      <c r="I20" s="169">
        <v>0</v>
      </c>
      <c r="J20" s="162">
        <v>0</v>
      </c>
      <c r="K20" s="123">
        <f t="shared" si="2"/>
        <v>0</v>
      </c>
      <c r="L20" s="169">
        <f t="shared" si="3"/>
        <v>77</v>
      </c>
      <c r="M20" s="169"/>
    </row>
    <row r="21" spans="1:13" ht="12.75">
      <c r="A21" s="127" t="s">
        <v>258</v>
      </c>
      <c r="B21" s="170" t="s">
        <v>580</v>
      </c>
      <c r="C21" s="169">
        <v>3</v>
      </c>
      <c r="D21" s="162">
        <v>2</v>
      </c>
      <c r="E21" s="203">
        <f t="shared" si="1"/>
        <v>0.6666666666666666</v>
      </c>
      <c r="F21" s="169">
        <f t="shared" si="0"/>
        <v>1</v>
      </c>
      <c r="G21" s="162">
        <v>1</v>
      </c>
      <c r="H21" s="162">
        <v>0</v>
      </c>
      <c r="I21" s="169">
        <v>0</v>
      </c>
      <c r="J21" s="162">
        <v>0</v>
      </c>
      <c r="K21" s="123">
        <f t="shared" si="2"/>
        <v>0</v>
      </c>
      <c r="L21" s="169">
        <f t="shared" si="3"/>
        <v>3</v>
      </c>
      <c r="M21" s="169"/>
    </row>
    <row r="22" spans="1:13" ht="12.75">
      <c r="A22" s="127" t="s">
        <v>648</v>
      </c>
      <c r="B22" s="108" t="s">
        <v>649</v>
      </c>
      <c r="C22" s="169">
        <f>1+1</f>
        <v>2</v>
      </c>
      <c r="D22" s="162">
        <v>1</v>
      </c>
      <c r="E22" s="203">
        <f t="shared" si="1"/>
        <v>0.5</v>
      </c>
      <c r="F22" s="169">
        <f t="shared" si="0"/>
        <v>1</v>
      </c>
      <c r="G22" s="162">
        <v>1</v>
      </c>
      <c r="H22" s="162">
        <v>1</v>
      </c>
      <c r="I22" s="169">
        <v>0</v>
      </c>
      <c r="J22" s="162">
        <v>0</v>
      </c>
      <c r="K22" s="123">
        <f t="shared" si="2"/>
        <v>0</v>
      </c>
      <c r="L22" s="169">
        <f t="shared" si="3"/>
        <v>3</v>
      </c>
      <c r="M22" s="169"/>
    </row>
    <row r="23" spans="1:13" ht="12.75">
      <c r="A23" s="127" t="s">
        <v>259</v>
      </c>
      <c r="B23" s="170" t="s">
        <v>581</v>
      </c>
      <c r="C23" s="169">
        <v>6</v>
      </c>
      <c r="D23" s="162">
        <v>5</v>
      </c>
      <c r="E23" s="203">
        <f t="shared" si="1"/>
        <v>0.8333333333333334</v>
      </c>
      <c r="F23" s="169">
        <f t="shared" si="0"/>
        <v>1</v>
      </c>
      <c r="G23" s="162">
        <v>1</v>
      </c>
      <c r="H23" s="162">
        <v>0</v>
      </c>
      <c r="I23" s="169">
        <v>0</v>
      </c>
      <c r="J23" s="162">
        <v>0</v>
      </c>
      <c r="K23" s="123">
        <f t="shared" si="2"/>
        <v>0</v>
      </c>
      <c r="L23" s="169">
        <f t="shared" si="3"/>
        <v>6</v>
      </c>
      <c r="M23" s="169"/>
    </row>
    <row r="24" spans="1:13" ht="12.75">
      <c r="A24" s="127" t="s">
        <v>260</v>
      </c>
      <c r="B24" s="170" t="s">
        <v>582</v>
      </c>
      <c r="C24" s="169">
        <f>1+1+1</f>
        <v>3</v>
      </c>
      <c r="D24" s="162">
        <v>3</v>
      </c>
      <c r="E24" s="203">
        <f t="shared" si="1"/>
        <v>1</v>
      </c>
      <c r="F24" s="169">
        <f t="shared" si="0"/>
        <v>0</v>
      </c>
      <c r="G24" s="162">
        <v>1</v>
      </c>
      <c r="H24" s="162">
        <v>0</v>
      </c>
      <c r="I24" s="169">
        <v>0</v>
      </c>
      <c r="J24" s="162">
        <v>0</v>
      </c>
      <c r="K24" s="123">
        <f t="shared" si="2"/>
        <v>0</v>
      </c>
      <c r="L24" s="169">
        <f t="shared" si="3"/>
        <v>4</v>
      </c>
      <c r="M24" s="169"/>
    </row>
    <row r="25" spans="1:13" ht="12.75">
      <c r="A25" s="220" t="s">
        <v>676</v>
      </c>
      <c r="B25" s="168" t="s">
        <v>677</v>
      </c>
      <c r="C25" s="215">
        <v>1</v>
      </c>
      <c r="D25" s="162">
        <v>0</v>
      </c>
      <c r="E25" s="214">
        <f t="shared" si="1"/>
        <v>0</v>
      </c>
      <c r="F25" s="169">
        <f t="shared" si="0"/>
        <v>1</v>
      </c>
      <c r="G25" s="162">
        <v>0</v>
      </c>
      <c r="H25" s="162">
        <v>0</v>
      </c>
      <c r="I25" s="169">
        <v>0</v>
      </c>
      <c r="J25" s="162">
        <v>0</v>
      </c>
      <c r="K25" s="123">
        <f t="shared" si="2"/>
        <v>0</v>
      </c>
      <c r="L25" s="169">
        <f t="shared" si="3"/>
        <v>0</v>
      </c>
      <c r="M25" s="169"/>
    </row>
    <row r="26" spans="1:13" ht="12.75">
      <c r="A26" s="127" t="s">
        <v>261</v>
      </c>
      <c r="B26" s="170" t="s">
        <v>583</v>
      </c>
      <c r="C26" s="169">
        <f>2+1</f>
        <v>3</v>
      </c>
      <c r="D26" s="162">
        <v>3</v>
      </c>
      <c r="E26" s="203">
        <f t="shared" si="1"/>
        <v>1</v>
      </c>
      <c r="F26" s="169">
        <f t="shared" si="0"/>
        <v>0</v>
      </c>
      <c r="G26" s="162">
        <v>0</v>
      </c>
      <c r="H26" s="162">
        <v>0</v>
      </c>
      <c r="I26" s="169">
        <v>0</v>
      </c>
      <c r="J26" s="162">
        <v>0</v>
      </c>
      <c r="K26" s="123">
        <f t="shared" si="2"/>
        <v>0</v>
      </c>
      <c r="L26" s="169">
        <f t="shared" si="3"/>
        <v>3</v>
      </c>
      <c r="M26" s="169"/>
    </row>
    <row r="27" spans="1:13" ht="12.75">
      <c r="A27" s="127" t="s">
        <v>262</v>
      </c>
      <c r="B27" s="170" t="s">
        <v>584</v>
      </c>
      <c r="C27" s="169">
        <v>32</v>
      </c>
      <c r="D27" s="162">
        <v>23</v>
      </c>
      <c r="E27" s="203">
        <f t="shared" si="1"/>
        <v>0.71875</v>
      </c>
      <c r="F27" s="169">
        <f t="shared" si="0"/>
        <v>9</v>
      </c>
      <c r="G27" s="162">
        <v>3</v>
      </c>
      <c r="H27" s="162">
        <v>2</v>
      </c>
      <c r="I27" s="169">
        <v>1</v>
      </c>
      <c r="J27" s="162">
        <v>1</v>
      </c>
      <c r="K27" s="123">
        <f t="shared" si="2"/>
        <v>0</v>
      </c>
      <c r="L27" s="169">
        <f t="shared" si="3"/>
        <v>29</v>
      </c>
      <c r="M27" s="169"/>
    </row>
    <row r="28" spans="1:13" ht="12.75">
      <c r="A28" s="127" t="s">
        <v>263</v>
      </c>
      <c r="B28" s="170" t="s">
        <v>585</v>
      </c>
      <c r="C28" s="169">
        <v>2</v>
      </c>
      <c r="D28" s="162">
        <v>2</v>
      </c>
      <c r="E28" s="203">
        <f t="shared" si="1"/>
        <v>1</v>
      </c>
      <c r="F28" s="162">
        <f t="shared" si="0"/>
        <v>0</v>
      </c>
      <c r="G28" s="162">
        <v>0</v>
      </c>
      <c r="H28" s="162">
        <v>0</v>
      </c>
      <c r="I28" s="169">
        <v>0</v>
      </c>
      <c r="J28" s="162">
        <v>0</v>
      </c>
      <c r="K28" s="123">
        <f t="shared" si="2"/>
        <v>0</v>
      </c>
      <c r="L28" s="162">
        <f t="shared" si="3"/>
        <v>2</v>
      </c>
      <c r="M28" s="169"/>
    </row>
    <row r="29" spans="1:13" ht="12.75">
      <c r="A29" s="127" t="s">
        <v>264</v>
      </c>
      <c r="B29" s="170" t="s">
        <v>586</v>
      </c>
      <c r="C29" s="169">
        <v>6</v>
      </c>
      <c r="D29" s="162">
        <v>6</v>
      </c>
      <c r="E29" s="203">
        <f t="shared" si="1"/>
        <v>1</v>
      </c>
      <c r="F29" s="162">
        <f t="shared" si="0"/>
        <v>0</v>
      </c>
      <c r="G29" s="162">
        <v>2</v>
      </c>
      <c r="H29" s="162">
        <v>0</v>
      </c>
      <c r="I29" s="169">
        <v>0</v>
      </c>
      <c r="J29" s="162">
        <v>0</v>
      </c>
      <c r="K29" s="123">
        <f t="shared" si="2"/>
        <v>0</v>
      </c>
      <c r="L29" s="162">
        <f t="shared" si="3"/>
        <v>8</v>
      </c>
      <c r="M29" s="169"/>
    </row>
    <row r="30" spans="1:13" ht="12.75">
      <c r="A30" s="127" t="s">
        <v>645</v>
      </c>
      <c r="B30" s="108" t="s">
        <v>644</v>
      </c>
      <c r="C30" s="169">
        <v>1</v>
      </c>
      <c r="D30" s="162">
        <v>1</v>
      </c>
      <c r="E30" s="203">
        <f t="shared" si="1"/>
        <v>1</v>
      </c>
      <c r="F30" s="162">
        <f t="shared" si="0"/>
        <v>0</v>
      </c>
      <c r="G30" s="162">
        <v>1</v>
      </c>
      <c r="H30" s="162">
        <v>0</v>
      </c>
      <c r="I30" s="169">
        <v>0</v>
      </c>
      <c r="J30" s="162">
        <v>0</v>
      </c>
      <c r="K30" s="123">
        <f t="shared" si="2"/>
        <v>0</v>
      </c>
      <c r="L30" s="162">
        <f t="shared" si="3"/>
        <v>2</v>
      </c>
      <c r="M30" s="169"/>
    </row>
    <row r="31" spans="1:13" ht="12.75">
      <c r="A31" s="127" t="s">
        <v>319</v>
      </c>
      <c r="B31" s="170" t="s">
        <v>587</v>
      </c>
      <c r="C31" s="169">
        <v>1</v>
      </c>
      <c r="D31" s="162">
        <v>1</v>
      </c>
      <c r="E31" s="203">
        <f t="shared" si="1"/>
        <v>1</v>
      </c>
      <c r="F31" s="162">
        <f t="shared" si="0"/>
        <v>0</v>
      </c>
      <c r="G31" s="162">
        <v>0</v>
      </c>
      <c r="H31" s="162">
        <v>0</v>
      </c>
      <c r="I31" s="169">
        <v>0</v>
      </c>
      <c r="J31" s="162">
        <v>0</v>
      </c>
      <c r="K31" s="123">
        <f t="shared" si="2"/>
        <v>0</v>
      </c>
      <c r="L31" s="162">
        <f t="shared" si="3"/>
        <v>1</v>
      </c>
      <c r="M31" s="169"/>
    </row>
    <row r="32" spans="1:13" ht="12.75">
      <c r="A32" s="127" t="s">
        <v>505</v>
      </c>
      <c r="B32" s="108" t="s">
        <v>588</v>
      </c>
      <c r="C32" s="169">
        <v>1</v>
      </c>
      <c r="D32" s="162">
        <v>0</v>
      </c>
      <c r="E32" s="203">
        <f t="shared" si="1"/>
        <v>0</v>
      </c>
      <c r="F32" s="162">
        <f t="shared" si="0"/>
        <v>1</v>
      </c>
      <c r="G32" s="162">
        <v>1</v>
      </c>
      <c r="H32" s="162">
        <v>0</v>
      </c>
      <c r="I32" s="169">
        <v>0</v>
      </c>
      <c r="J32" s="162">
        <v>0</v>
      </c>
      <c r="K32" s="123">
        <f t="shared" si="2"/>
        <v>0</v>
      </c>
      <c r="L32" s="162">
        <f t="shared" si="3"/>
        <v>1</v>
      </c>
      <c r="M32" s="169"/>
    </row>
    <row r="33" spans="1:13" ht="12.75">
      <c r="A33" s="127" t="s">
        <v>265</v>
      </c>
      <c r="B33" s="170" t="s">
        <v>589</v>
      </c>
      <c r="C33" s="169">
        <v>1</v>
      </c>
      <c r="D33" s="162">
        <v>1</v>
      </c>
      <c r="E33" s="203">
        <f t="shared" si="1"/>
        <v>1</v>
      </c>
      <c r="F33" s="162">
        <f t="shared" si="0"/>
        <v>0</v>
      </c>
      <c r="G33" s="162">
        <v>0</v>
      </c>
      <c r="H33" s="162">
        <v>0</v>
      </c>
      <c r="I33" s="169">
        <v>0</v>
      </c>
      <c r="J33" s="162">
        <v>0</v>
      </c>
      <c r="K33" s="123">
        <f t="shared" si="2"/>
        <v>0</v>
      </c>
      <c r="L33" s="162">
        <f t="shared" si="3"/>
        <v>1</v>
      </c>
      <c r="M33" s="169"/>
    </row>
    <row r="34" spans="1:13" ht="12.75">
      <c r="A34" s="127" t="s">
        <v>266</v>
      </c>
      <c r="B34" s="170" t="s">
        <v>590</v>
      </c>
      <c r="C34" s="169">
        <f>5+8+1</f>
        <v>14</v>
      </c>
      <c r="D34" s="162">
        <v>14</v>
      </c>
      <c r="E34" s="203">
        <f t="shared" si="1"/>
        <v>1</v>
      </c>
      <c r="F34" s="162">
        <f t="shared" si="0"/>
        <v>0</v>
      </c>
      <c r="G34" s="162">
        <v>6</v>
      </c>
      <c r="H34" s="162">
        <v>0</v>
      </c>
      <c r="I34" s="169">
        <v>0</v>
      </c>
      <c r="J34" s="162">
        <v>0</v>
      </c>
      <c r="K34" s="123">
        <f t="shared" si="2"/>
        <v>0</v>
      </c>
      <c r="L34" s="162">
        <f t="shared" si="3"/>
        <v>20</v>
      </c>
      <c r="M34" s="169"/>
    </row>
    <row r="35" spans="1:13" ht="12.75">
      <c r="A35" s="127" t="s">
        <v>267</v>
      </c>
      <c r="B35" s="170" t="s">
        <v>591</v>
      </c>
      <c r="C35" s="169">
        <v>1</v>
      </c>
      <c r="D35" s="169">
        <v>1</v>
      </c>
      <c r="E35" s="203">
        <f t="shared" si="1"/>
        <v>1</v>
      </c>
      <c r="F35" s="169">
        <f t="shared" si="0"/>
        <v>0</v>
      </c>
      <c r="G35" s="169">
        <v>0</v>
      </c>
      <c r="H35" s="169">
        <v>0</v>
      </c>
      <c r="I35" s="169">
        <v>0</v>
      </c>
      <c r="J35" s="169">
        <v>0</v>
      </c>
      <c r="K35" s="123">
        <f t="shared" si="2"/>
        <v>0</v>
      </c>
      <c r="L35" s="162">
        <f t="shared" si="3"/>
        <v>1</v>
      </c>
      <c r="M35" s="169"/>
    </row>
    <row r="36" spans="1:13" ht="12.75">
      <c r="A36" s="127">
        <v>137506</v>
      </c>
      <c r="B36" s="170" t="s">
        <v>592</v>
      </c>
      <c r="C36" s="169">
        <f>85+14+24+19+2+1</f>
        <v>145</v>
      </c>
      <c r="D36" s="169">
        <v>145</v>
      </c>
      <c r="E36" s="203">
        <f t="shared" si="1"/>
        <v>1</v>
      </c>
      <c r="F36" s="169">
        <f t="shared" si="0"/>
        <v>0</v>
      </c>
      <c r="G36" s="169">
        <v>234</v>
      </c>
      <c r="H36" s="169">
        <v>7</v>
      </c>
      <c r="I36" s="169">
        <v>3</v>
      </c>
      <c r="J36" s="169">
        <v>1</v>
      </c>
      <c r="K36" s="123">
        <f t="shared" si="2"/>
        <v>2</v>
      </c>
      <c r="L36" s="162">
        <f t="shared" si="3"/>
        <v>387</v>
      </c>
      <c r="M36" s="169"/>
    </row>
    <row r="37" spans="1:12" ht="12.75">
      <c r="A37" s="127">
        <v>137502</v>
      </c>
      <c r="B37" s="170" t="s">
        <v>593</v>
      </c>
      <c r="C37" s="169">
        <v>108</v>
      </c>
      <c r="D37" s="169">
        <v>89</v>
      </c>
      <c r="E37" s="203">
        <f t="shared" si="1"/>
        <v>0.8240740740740741</v>
      </c>
      <c r="F37" s="169">
        <f t="shared" si="0"/>
        <v>19</v>
      </c>
      <c r="G37" s="169">
        <v>17</v>
      </c>
      <c r="H37" s="169">
        <v>11</v>
      </c>
      <c r="I37" s="169">
        <f>1+1+1</f>
        <v>3</v>
      </c>
      <c r="J37" s="169">
        <v>3</v>
      </c>
      <c r="K37" s="123">
        <f t="shared" si="2"/>
        <v>0</v>
      </c>
      <c r="L37" s="162">
        <f t="shared" si="3"/>
        <v>120</v>
      </c>
    </row>
    <row r="38" spans="1:13" ht="12.75">
      <c r="A38" s="127">
        <v>137501</v>
      </c>
      <c r="B38" s="170" t="s">
        <v>594</v>
      </c>
      <c r="C38" s="169">
        <v>76</v>
      </c>
      <c r="D38" s="169">
        <v>25</v>
      </c>
      <c r="E38" s="203">
        <f t="shared" si="1"/>
        <v>0.32894736842105265</v>
      </c>
      <c r="F38" s="169">
        <f t="shared" si="0"/>
        <v>51</v>
      </c>
      <c r="G38" s="169">
        <v>24</v>
      </c>
      <c r="H38" s="169">
        <v>2</v>
      </c>
      <c r="I38" s="169">
        <v>16</v>
      </c>
      <c r="J38" s="169">
        <v>1</v>
      </c>
      <c r="K38" s="169">
        <f>I38-J38</f>
        <v>15</v>
      </c>
      <c r="L38" s="162">
        <f>D38+G38+H38+J38</f>
        <v>52</v>
      </c>
      <c r="M38" s="124"/>
    </row>
    <row r="39" spans="2:13" ht="12.75">
      <c r="B39" s="60"/>
      <c r="C39" s="136" t="s">
        <v>16</v>
      </c>
      <c r="D39" s="136" t="s">
        <v>16</v>
      </c>
      <c r="E39" s="136" t="s">
        <v>94</v>
      </c>
      <c r="F39" s="136" t="s">
        <v>16</v>
      </c>
      <c r="G39" s="136" t="s">
        <v>16</v>
      </c>
      <c r="H39" s="136" t="s">
        <v>94</v>
      </c>
      <c r="I39" s="136" t="s">
        <v>17</v>
      </c>
      <c r="J39" s="136" t="s">
        <v>16</v>
      </c>
      <c r="K39" s="136" t="s">
        <v>16</v>
      </c>
      <c r="L39" s="136" t="s">
        <v>16</v>
      </c>
      <c r="M39" s="130"/>
    </row>
    <row r="40" spans="2:13" ht="12.75">
      <c r="B40" s="100" t="s">
        <v>181</v>
      </c>
      <c r="C40" s="124">
        <f>SUM(C6:C38)</f>
        <v>840</v>
      </c>
      <c r="D40" s="124">
        <f>SUM(D6:D38)</f>
        <v>701</v>
      </c>
      <c r="E40" s="133">
        <f>D40/C40</f>
        <v>0.8345238095238096</v>
      </c>
      <c r="F40" s="124">
        <f aca="true" t="shared" si="4" ref="F40:L40">SUM(F6:F38)</f>
        <v>139</v>
      </c>
      <c r="G40" s="124">
        <f t="shared" si="4"/>
        <v>876</v>
      </c>
      <c r="H40" s="124">
        <f t="shared" si="4"/>
        <v>44</v>
      </c>
      <c r="I40" s="124">
        <f t="shared" si="4"/>
        <v>61</v>
      </c>
      <c r="J40" s="124">
        <f t="shared" si="4"/>
        <v>16</v>
      </c>
      <c r="K40" s="124">
        <f t="shared" si="4"/>
        <v>45</v>
      </c>
      <c r="L40" s="124">
        <f t="shared" si="4"/>
        <v>1637</v>
      </c>
      <c r="M40" s="130"/>
    </row>
    <row r="41" spans="2:13" ht="12.75">
      <c r="B41" s="53"/>
      <c r="C41" s="53" t="s">
        <v>34</v>
      </c>
      <c r="D41" s="53"/>
      <c r="E41" s="53"/>
      <c r="F41" s="79" t="s">
        <v>34</v>
      </c>
      <c r="G41" s="79"/>
      <c r="H41" s="53"/>
      <c r="I41" s="79"/>
      <c r="J41" s="79"/>
      <c r="K41" s="79" t="s">
        <v>34</v>
      </c>
      <c r="L41" s="79"/>
      <c r="M41" s="124"/>
    </row>
    <row r="42" spans="1:13" ht="12.75">
      <c r="A42" t="s">
        <v>34</v>
      </c>
      <c r="B42" s="53"/>
      <c r="C42" s="53"/>
      <c r="D42" s="53"/>
      <c r="E42" s="53"/>
      <c r="F42" s="53" t="s">
        <v>34</v>
      </c>
      <c r="G42" s="53"/>
      <c r="H42" s="53"/>
      <c r="I42" s="53"/>
      <c r="J42" s="53"/>
      <c r="K42" s="53" t="s">
        <v>34</v>
      </c>
      <c r="L42" s="53"/>
      <c r="M42" s="79"/>
    </row>
    <row r="43" spans="2:13" ht="12.75">
      <c r="B43" s="53"/>
      <c r="C43" s="53"/>
      <c r="D43" s="92" t="s">
        <v>622</v>
      </c>
      <c r="E43" s="53"/>
      <c r="F43" s="111" t="s">
        <v>173</v>
      </c>
      <c r="G43" s="53"/>
      <c r="H43" s="53"/>
      <c r="I43" s="53"/>
      <c r="J43" s="53"/>
      <c r="K43" s="53"/>
      <c r="L43" s="87"/>
      <c r="M43" s="130"/>
    </row>
    <row r="44" spans="2:13" ht="12.75">
      <c r="B44" s="53"/>
      <c r="C44" s="53"/>
      <c r="D44" s="53"/>
      <c r="E44" s="53"/>
      <c r="F44" s="111" t="s">
        <v>624</v>
      </c>
      <c r="G44" s="53"/>
      <c r="H44" s="53"/>
      <c r="I44" s="53"/>
      <c r="J44" s="53"/>
      <c r="K44" s="53"/>
      <c r="L44" s="87"/>
      <c r="M44" s="130"/>
    </row>
    <row r="45" spans="2:13" ht="12.75">
      <c r="B45" s="91" t="s">
        <v>18</v>
      </c>
      <c r="C45" s="53"/>
      <c r="D45" s="136">
        <f>C40</f>
        <v>840</v>
      </c>
      <c r="E45" s="53"/>
      <c r="F45" s="111"/>
      <c r="G45" s="53"/>
      <c r="H45" s="140"/>
      <c r="I45" s="53"/>
      <c r="J45" s="53"/>
      <c r="K45" s="53"/>
      <c r="L45" s="87"/>
      <c r="M45" s="53"/>
    </row>
    <row r="46" spans="2:13" ht="12.75">
      <c r="B46" s="75" t="s">
        <v>623</v>
      </c>
      <c r="C46" s="79"/>
      <c r="D46" s="195">
        <f>L40-SUM(D50:D51)-D47</f>
        <v>701</v>
      </c>
      <c r="E46" s="53"/>
      <c r="F46" s="112" t="s">
        <v>87</v>
      </c>
      <c r="G46" s="53"/>
      <c r="H46" s="140"/>
      <c r="I46" s="53"/>
      <c r="J46" s="53"/>
      <c r="K46" s="53"/>
      <c r="L46" s="87"/>
      <c r="M46" s="53"/>
    </row>
    <row r="47" spans="2:12" ht="12.75">
      <c r="B47" s="93" t="s">
        <v>19</v>
      </c>
      <c r="C47" s="53"/>
      <c r="D47" s="136">
        <f>H40</f>
        <v>44</v>
      </c>
      <c r="E47" s="53"/>
      <c r="F47" s="111" t="s">
        <v>88</v>
      </c>
      <c r="G47" s="53"/>
      <c r="H47" s="140"/>
      <c r="I47" s="53"/>
      <c r="J47" s="53"/>
      <c r="K47" s="53"/>
      <c r="L47" s="87"/>
    </row>
    <row r="48" spans="2:12" ht="12.75">
      <c r="B48" s="93" t="s">
        <v>20</v>
      </c>
      <c r="C48" s="113"/>
      <c r="D48" s="196">
        <f>D46/D45</f>
        <v>0.8345238095238096</v>
      </c>
      <c r="E48" s="53"/>
      <c r="F48" s="53"/>
      <c r="G48" s="53"/>
      <c r="H48" s="140"/>
      <c r="I48" s="53"/>
      <c r="J48" s="53"/>
      <c r="K48" s="53"/>
      <c r="L48" s="87"/>
    </row>
    <row r="49" spans="2:12" ht="12">
      <c r="B49" s="53"/>
      <c r="C49" s="76"/>
      <c r="D49" s="76"/>
      <c r="E49" s="53"/>
      <c r="F49" s="53"/>
      <c r="G49" s="53"/>
      <c r="H49" s="53"/>
      <c r="I49" s="53"/>
      <c r="J49" s="53"/>
      <c r="K49" s="53"/>
      <c r="L49" s="87"/>
    </row>
    <row r="50" spans="2:12" ht="12.75">
      <c r="B50" s="53" t="s">
        <v>22</v>
      </c>
      <c r="C50" s="79"/>
      <c r="D50" s="136">
        <f>G40</f>
        <v>876</v>
      </c>
      <c r="E50" s="53"/>
      <c r="F50" s="53"/>
      <c r="G50" s="53"/>
      <c r="H50" s="140"/>
      <c r="I50" s="53"/>
      <c r="J50" s="53"/>
      <c r="K50" s="53"/>
      <c r="L50" s="87"/>
    </row>
    <row r="51" spans="2:12" ht="12.75">
      <c r="B51" s="53" t="s">
        <v>23</v>
      </c>
      <c r="C51" s="79"/>
      <c r="D51" s="136">
        <f>J40</f>
        <v>16</v>
      </c>
      <c r="E51" s="53"/>
      <c r="F51" s="53"/>
      <c r="G51" s="53"/>
      <c r="H51" s="140"/>
      <c r="I51" s="53"/>
      <c r="J51" s="53"/>
      <c r="K51" s="53"/>
      <c r="L51" s="87"/>
    </row>
    <row r="52" spans="2:12" ht="12">
      <c r="B52" s="53"/>
      <c r="C52" s="79"/>
      <c r="D52" s="79"/>
      <c r="E52" s="53"/>
      <c r="F52" s="53"/>
      <c r="G52" s="53"/>
      <c r="H52" s="53"/>
      <c r="I52" s="53"/>
      <c r="J52" s="53"/>
      <c r="K52" s="53"/>
      <c r="L52" s="87"/>
    </row>
    <row r="53" spans="2:12" ht="12.75">
      <c r="B53" s="94" t="s">
        <v>148</v>
      </c>
      <c r="C53" s="79"/>
      <c r="D53" s="136">
        <f>D46+D47+D50+D51</f>
        <v>1637</v>
      </c>
      <c r="E53" s="53"/>
      <c r="F53" s="79" t="s">
        <v>34</v>
      </c>
      <c r="G53" s="53"/>
      <c r="H53" s="140"/>
      <c r="I53" s="53"/>
      <c r="J53" s="53"/>
      <c r="K53" s="53"/>
      <c r="L53" s="87"/>
    </row>
    <row r="54" spans="2:12" ht="12">
      <c r="B54" s="53"/>
      <c r="C54" s="79"/>
      <c r="D54" s="79"/>
      <c r="E54" s="53"/>
      <c r="F54" s="53"/>
      <c r="G54" s="53"/>
      <c r="H54" s="53"/>
      <c r="I54" s="53"/>
      <c r="J54" s="53"/>
      <c r="K54" s="53"/>
      <c r="L54" s="87"/>
    </row>
    <row r="55" spans="3:4" ht="12">
      <c r="C55" s="66"/>
      <c r="D55" s="66"/>
    </row>
    <row r="56" spans="3:4" ht="12">
      <c r="C56" s="66"/>
      <c r="D56" s="66"/>
    </row>
    <row r="57" spans="3:4" ht="12">
      <c r="C57" s="66"/>
      <c r="D57" s="66"/>
    </row>
    <row r="58" spans="2:4" ht="12">
      <c r="B58" s="25" t="s">
        <v>686</v>
      </c>
      <c r="C58" s="66"/>
      <c r="D58" s="66"/>
    </row>
    <row r="59" spans="2:4" ht="15">
      <c r="B59" s="211" t="s">
        <v>668</v>
      </c>
      <c r="C59" s="66"/>
      <c r="D59" s="66"/>
    </row>
    <row r="60" spans="3:4" ht="12">
      <c r="C60" s="66"/>
      <c r="D60" s="66"/>
    </row>
    <row r="61" spans="3:4" ht="12">
      <c r="C61" s="66"/>
      <c r="D61" s="66"/>
    </row>
    <row r="62" spans="3:4" ht="12">
      <c r="C62" s="66"/>
      <c r="D62" s="66"/>
    </row>
    <row r="63" ht="0.75" customHeight="1"/>
  </sheetData>
  <printOptions gridLines="1" horizontalCentered="1"/>
  <pageMargins left="0.25" right="0.26" top="0.65" bottom="0.32" header="0.38" footer="0.16"/>
  <pageSetup horizontalDpi="300" verticalDpi="300" orientation="portrait" scale="73" r:id="rId1"/>
  <headerFooter alignWithMargins="0">
    <oddHeader>&amp;C&amp;12Month Ending June 30, 2010
</oddHeader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workbookViewId="0" topLeftCell="A1">
      <selection activeCell="I51" sqref="I51"/>
    </sheetView>
  </sheetViews>
  <sheetFormatPr defaultColWidth="9.140625" defaultRowHeight="12.75"/>
  <cols>
    <col min="1" max="1" width="8.421875" style="25" customWidth="1"/>
    <col min="2" max="2" width="31.140625" style="25" customWidth="1"/>
    <col min="3" max="3" width="6.28125" style="25" customWidth="1"/>
    <col min="4" max="4" width="9.8515625" style="25" customWidth="1"/>
    <col min="5" max="6" width="9.421875" style="25" customWidth="1"/>
    <col min="7" max="8" width="9.57421875" style="25" customWidth="1"/>
    <col min="9" max="9" width="9.421875" style="25" customWidth="1"/>
    <col min="10" max="10" width="7.421875" style="25" customWidth="1"/>
    <col min="11" max="11" width="7.7109375" style="25" customWidth="1"/>
    <col min="12" max="12" width="11.7109375" style="74" customWidth="1"/>
    <col min="13" max="16384" width="9.140625" style="25" customWidth="1"/>
  </cols>
  <sheetData>
    <row r="1" spans="1:12" s="67" customFormat="1" ht="12">
      <c r="A1" s="86" t="s">
        <v>693</v>
      </c>
      <c r="B1" s="102"/>
      <c r="C1" s="67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</row>
    <row r="2" spans="1:12" s="68" customFormat="1" ht="51">
      <c r="A2" s="71" t="s">
        <v>191</v>
      </c>
      <c r="B2" s="71" t="s">
        <v>190</v>
      </c>
      <c r="C2" s="72" t="s">
        <v>509</v>
      </c>
      <c r="D2" s="72" t="s">
        <v>305</v>
      </c>
      <c r="E2" s="72" t="s">
        <v>186</v>
      </c>
      <c r="F2" s="72" t="s">
        <v>187</v>
      </c>
      <c r="G2" s="72" t="s">
        <v>306</v>
      </c>
      <c r="H2" s="72" t="s">
        <v>621</v>
      </c>
      <c r="I2" s="72" t="s">
        <v>510</v>
      </c>
      <c r="J2" s="72" t="s">
        <v>188</v>
      </c>
      <c r="K2" s="72" t="s">
        <v>189</v>
      </c>
      <c r="L2" s="210" t="s">
        <v>667</v>
      </c>
    </row>
    <row r="3" spans="2:12" s="67" customFormat="1" ht="12">
      <c r="B3" s="88"/>
      <c r="C3" s="114"/>
      <c r="D3" s="114"/>
      <c r="E3" s="114"/>
      <c r="F3" s="114"/>
      <c r="G3" s="114"/>
      <c r="H3" s="115"/>
      <c r="I3" s="116"/>
      <c r="J3" s="117"/>
      <c r="K3" s="118"/>
      <c r="L3" s="114"/>
    </row>
    <row r="4" spans="1:12" ht="12">
      <c r="A4" s="91" t="s">
        <v>172</v>
      </c>
      <c r="C4" s="53"/>
      <c r="D4" s="53"/>
      <c r="E4" s="53"/>
      <c r="F4" s="53"/>
      <c r="G4" s="53"/>
      <c r="H4" s="53"/>
      <c r="I4" s="53"/>
      <c r="J4" s="53"/>
      <c r="K4" s="87"/>
      <c r="L4" s="53"/>
    </row>
    <row r="5" s="108" customFormat="1" ht="12.75">
      <c r="M5" s="108" t="s">
        <v>34</v>
      </c>
    </row>
    <row r="6" spans="1:12" s="108" customFormat="1" ht="12.75">
      <c r="A6" s="220" t="s">
        <v>678</v>
      </c>
      <c r="B6" s="168" t="s">
        <v>679</v>
      </c>
      <c r="C6" s="213">
        <v>3</v>
      </c>
      <c r="D6" s="165">
        <v>0</v>
      </c>
      <c r="E6" s="214">
        <f>D6/C6</f>
        <v>0</v>
      </c>
      <c r="F6" s="123">
        <f aca="true" t="shared" si="0" ref="F6:F37">C6-D6</f>
        <v>3</v>
      </c>
      <c r="G6" s="165">
        <v>0</v>
      </c>
      <c r="H6" s="165">
        <v>0</v>
      </c>
      <c r="I6" s="213">
        <v>0</v>
      </c>
      <c r="J6" s="165">
        <v>0</v>
      </c>
      <c r="K6" s="123">
        <f aca="true" t="shared" si="1" ref="K6:K37">I6-J6</f>
        <v>0</v>
      </c>
      <c r="L6" s="123">
        <f aca="true" t="shared" si="2" ref="L6:L38">D6+G6+H6+J6</f>
        <v>0</v>
      </c>
    </row>
    <row r="7" spans="1:12" s="146" customFormat="1" ht="12.75">
      <c r="A7" s="127" t="s">
        <v>651</v>
      </c>
      <c r="B7" s="170" t="s">
        <v>650</v>
      </c>
      <c r="C7" s="169">
        <v>1</v>
      </c>
      <c r="D7" s="162">
        <v>0</v>
      </c>
      <c r="E7" s="128">
        <f aca="true" t="shared" si="3" ref="E7:E38">D7/C7</f>
        <v>0</v>
      </c>
      <c r="F7" s="123">
        <f t="shared" si="0"/>
        <v>1</v>
      </c>
      <c r="G7" s="162">
        <v>1</v>
      </c>
      <c r="H7" s="162">
        <v>0</v>
      </c>
      <c r="I7" s="123">
        <v>0</v>
      </c>
      <c r="J7" s="162">
        <v>0</v>
      </c>
      <c r="K7" s="123">
        <f t="shared" si="1"/>
        <v>0</v>
      </c>
      <c r="L7" s="123">
        <f t="shared" si="2"/>
        <v>1</v>
      </c>
    </row>
    <row r="8" spans="1:12" s="108" customFormat="1" ht="12.75">
      <c r="A8" s="127" t="s">
        <v>268</v>
      </c>
      <c r="B8" s="170" t="s">
        <v>595</v>
      </c>
      <c r="C8" s="169">
        <v>15</v>
      </c>
      <c r="D8" s="162">
        <v>14</v>
      </c>
      <c r="E8" s="128">
        <f t="shared" si="3"/>
        <v>0.9333333333333333</v>
      </c>
      <c r="F8" s="123">
        <f t="shared" si="0"/>
        <v>1</v>
      </c>
      <c r="G8" s="162">
        <v>3</v>
      </c>
      <c r="H8" s="162">
        <v>1</v>
      </c>
      <c r="I8" s="123">
        <v>0</v>
      </c>
      <c r="J8" s="162">
        <v>0</v>
      </c>
      <c r="K8" s="123">
        <f t="shared" si="1"/>
        <v>0</v>
      </c>
      <c r="L8" s="123">
        <f t="shared" si="2"/>
        <v>18</v>
      </c>
    </row>
    <row r="9" spans="1:12" s="108" customFormat="1" ht="12.75">
      <c r="A9" s="127" t="s">
        <v>269</v>
      </c>
      <c r="B9" s="170" t="s">
        <v>596</v>
      </c>
      <c r="C9" s="169">
        <v>8</v>
      </c>
      <c r="D9" s="162">
        <v>5</v>
      </c>
      <c r="E9" s="128">
        <f t="shared" si="3"/>
        <v>0.625</v>
      </c>
      <c r="F9" s="123">
        <f t="shared" si="0"/>
        <v>3</v>
      </c>
      <c r="G9" s="162">
        <v>1</v>
      </c>
      <c r="H9" s="162">
        <v>0</v>
      </c>
      <c r="I9" s="123">
        <v>0</v>
      </c>
      <c r="J9" s="162">
        <v>0</v>
      </c>
      <c r="K9" s="123">
        <f t="shared" si="1"/>
        <v>0</v>
      </c>
      <c r="L9" s="123">
        <f t="shared" si="2"/>
        <v>6</v>
      </c>
    </row>
    <row r="10" spans="1:12" s="108" customFormat="1" ht="12.75">
      <c r="A10" s="127" t="s">
        <v>270</v>
      </c>
      <c r="B10" s="170" t="s">
        <v>597</v>
      </c>
      <c r="C10" s="162">
        <v>1</v>
      </c>
      <c r="D10" s="162">
        <v>1</v>
      </c>
      <c r="E10" s="128">
        <f t="shared" si="3"/>
        <v>1</v>
      </c>
      <c r="F10" s="123">
        <f t="shared" si="0"/>
        <v>0</v>
      </c>
      <c r="G10" s="162">
        <v>0</v>
      </c>
      <c r="H10" s="162">
        <v>0</v>
      </c>
      <c r="I10" s="123">
        <v>0</v>
      </c>
      <c r="J10" s="162">
        <v>0</v>
      </c>
      <c r="K10" s="123">
        <f t="shared" si="1"/>
        <v>0</v>
      </c>
      <c r="L10" s="123">
        <f t="shared" si="2"/>
        <v>1</v>
      </c>
    </row>
    <row r="11" spans="1:12" s="108" customFormat="1" ht="12.75">
      <c r="A11" s="127" t="s">
        <v>271</v>
      </c>
      <c r="B11" s="170" t="s">
        <v>598</v>
      </c>
      <c r="C11" s="162">
        <v>85</v>
      </c>
      <c r="D11" s="162">
        <v>61</v>
      </c>
      <c r="E11" s="128">
        <f t="shared" si="3"/>
        <v>0.7176470588235294</v>
      </c>
      <c r="F11" s="123">
        <f t="shared" si="0"/>
        <v>24</v>
      </c>
      <c r="G11" s="162">
        <v>18</v>
      </c>
      <c r="H11" s="162">
        <v>4</v>
      </c>
      <c r="I11" s="123">
        <v>12</v>
      </c>
      <c r="J11" s="162">
        <v>5</v>
      </c>
      <c r="K11" s="123">
        <f t="shared" si="1"/>
        <v>7</v>
      </c>
      <c r="L11" s="123">
        <f t="shared" si="2"/>
        <v>88</v>
      </c>
    </row>
    <row r="12" spans="1:12" s="108" customFormat="1" ht="12.75">
      <c r="A12" s="127" t="s">
        <v>272</v>
      </c>
      <c r="B12" s="170" t="s">
        <v>599</v>
      </c>
      <c r="C12" s="162">
        <v>1</v>
      </c>
      <c r="D12" s="162">
        <v>1</v>
      </c>
      <c r="E12" s="128">
        <f t="shared" si="3"/>
        <v>1</v>
      </c>
      <c r="F12" s="123">
        <f t="shared" si="0"/>
        <v>0</v>
      </c>
      <c r="G12" s="162">
        <v>1</v>
      </c>
      <c r="H12" s="162">
        <v>0</v>
      </c>
      <c r="I12" s="123">
        <v>0</v>
      </c>
      <c r="J12" s="162">
        <v>0</v>
      </c>
      <c r="K12" s="123">
        <f t="shared" si="1"/>
        <v>0</v>
      </c>
      <c r="L12" s="123">
        <f t="shared" si="2"/>
        <v>2</v>
      </c>
    </row>
    <row r="13" spans="1:12" s="108" customFormat="1" ht="12.75">
      <c r="A13" s="127" t="s">
        <v>273</v>
      </c>
      <c r="B13" s="170" t="s">
        <v>600</v>
      </c>
      <c r="C13" s="162">
        <v>17</v>
      </c>
      <c r="D13" s="162">
        <v>15</v>
      </c>
      <c r="E13" s="128">
        <f t="shared" si="3"/>
        <v>0.8823529411764706</v>
      </c>
      <c r="F13" s="123">
        <f t="shared" si="0"/>
        <v>2</v>
      </c>
      <c r="G13" s="162">
        <v>3</v>
      </c>
      <c r="H13" s="162">
        <v>2</v>
      </c>
      <c r="I13" s="123">
        <v>0</v>
      </c>
      <c r="J13" s="162">
        <v>0</v>
      </c>
      <c r="K13" s="123">
        <f t="shared" si="1"/>
        <v>0</v>
      </c>
      <c r="L13" s="123">
        <f t="shared" si="2"/>
        <v>20</v>
      </c>
    </row>
    <row r="14" spans="1:12" s="108" customFormat="1" ht="12.75">
      <c r="A14" s="127" t="s">
        <v>274</v>
      </c>
      <c r="B14" s="170" t="s">
        <v>601</v>
      </c>
      <c r="C14" s="162">
        <v>90</v>
      </c>
      <c r="D14" s="162">
        <v>59</v>
      </c>
      <c r="E14" s="128">
        <f t="shared" si="3"/>
        <v>0.6555555555555556</v>
      </c>
      <c r="F14" s="123">
        <f t="shared" si="0"/>
        <v>31</v>
      </c>
      <c r="G14" s="162">
        <v>12</v>
      </c>
      <c r="H14" s="162">
        <v>9</v>
      </c>
      <c r="I14" s="123">
        <v>30</v>
      </c>
      <c r="J14" s="162">
        <v>11</v>
      </c>
      <c r="K14" s="123">
        <f t="shared" si="1"/>
        <v>19</v>
      </c>
      <c r="L14" s="123">
        <f t="shared" si="2"/>
        <v>91</v>
      </c>
    </row>
    <row r="15" spans="1:12" s="108" customFormat="1" ht="12.75">
      <c r="A15" s="127" t="s">
        <v>275</v>
      </c>
      <c r="B15" s="170" t="s">
        <v>602</v>
      </c>
      <c r="C15" s="162">
        <v>6</v>
      </c>
      <c r="D15" s="162">
        <v>6</v>
      </c>
      <c r="E15" s="128">
        <f t="shared" si="3"/>
        <v>1</v>
      </c>
      <c r="F15" s="123">
        <f t="shared" si="0"/>
        <v>0</v>
      </c>
      <c r="G15" s="162">
        <v>2</v>
      </c>
      <c r="H15" s="162">
        <v>0</v>
      </c>
      <c r="I15" s="123">
        <v>0</v>
      </c>
      <c r="J15" s="162">
        <v>0</v>
      </c>
      <c r="K15" s="123">
        <f t="shared" si="1"/>
        <v>0</v>
      </c>
      <c r="L15" s="123">
        <f t="shared" si="2"/>
        <v>8</v>
      </c>
    </row>
    <row r="16" spans="1:12" ht="12.75">
      <c r="A16" s="127" t="s">
        <v>276</v>
      </c>
      <c r="B16" s="170" t="s">
        <v>603</v>
      </c>
      <c r="C16" s="162">
        <v>15</v>
      </c>
      <c r="D16" s="162">
        <v>12</v>
      </c>
      <c r="E16" s="128">
        <f t="shared" si="3"/>
        <v>0.8</v>
      </c>
      <c r="F16" s="123">
        <f t="shared" si="0"/>
        <v>3</v>
      </c>
      <c r="G16" s="162">
        <v>1</v>
      </c>
      <c r="H16" s="162">
        <v>0</v>
      </c>
      <c r="I16" s="123">
        <v>0</v>
      </c>
      <c r="J16" s="162">
        <v>0</v>
      </c>
      <c r="K16" s="123">
        <f t="shared" si="1"/>
        <v>0</v>
      </c>
      <c r="L16" s="123">
        <f t="shared" si="2"/>
        <v>13</v>
      </c>
    </row>
    <row r="17" spans="1:12" ht="12.75">
      <c r="A17" s="127" t="s">
        <v>277</v>
      </c>
      <c r="B17" s="170" t="s">
        <v>604</v>
      </c>
      <c r="C17" s="162">
        <v>10</v>
      </c>
      <c r="D17" s="162">
        <v>5</v>
      </c>
      <c r="E17" s="128">
        <f t="shared" si="3"/>
        <v>0.5</v>
      </c>
      <c r="F17" s="123">
        <f t="shared" si="0"/>
        <v>5</v>
      </c>
      <c r="G17" s="162">
        <v>1</v>
      </c>
      <c r="H17" s="162">
        <v>0</v>
      </c>
      <c r="I17" s="123">
        <v>0</v>
      </c>
      <c r="J17" s="162">
        <v>0</v>
      </c>
      <c r="K17" s="123">
        <f t="shared" si="1"/>
        <v>0</v>
      </c>
      <c r="L17" s="123">
        <f t="shared" si="2"/>
        <v>6</v>
      </c>
    </row>
    <row r="18" spans="1:12" ht="12.75">
      <c r="A18" s="127" t="s">
        <v>278</v>
      </c>
      <c r="B18" s="170" t="s">
        <v>605</v>
      </c>
      <c r="C18" s="162">
        <v>63</v>
      </c>
      <c r="D18" s="162">
        <v>45</v>
      </c>
      <c r="E18" s="128">
        <f t="shared" si="3"/>
        <v>0.7142857142857143</v>
      </c>
      <c r="F18" s="123">
        <f t="shared" si="0"/>
        <v>18</v>
      </c>
      <c r="G18" s="162">
        <v>16</v>
      </c>
      <c r="H18" s="162">
        <v>4</v>
      </c>
      <c r="I18" s="123">
        <v>0</v>
      </c>
      <c r="J18" s="162">
        <v>0</v>
      </c>
      <c r="K18" s="123">
        <f t="shared" si="1"/>
        <v>0</v>
      </c>
      <c r="L18" s="123">
        <f t="shared" si="2"/>
        <v>65</v>
      </c>
    </row>
    <row r="19" spans="1:12" ht="12.75">
      <c r="A19" s="127" t="s">
        <v>279</v>
      </c>
      <c r="B19" s="170" t="s">
        <v>606</v>
      </c>
      <c r="C19" s="162">
        <v>71</v>
      </c>
      <c r="D19" s="162">
        <v>20</v>
      </c>
      <c r="E19" s="128">
        <f t="shared" si="3"/>
        <v>0.28169014084507044</v>
      </c>
      <c r="F19" s="123">
        <f t="shared" si="0"/>
        <v>51</v>
      </c>
      <c r="G19" s="162">
        <v>5</v>
      </c>
      <c r="H19" s="162">
        <v>1</v>
      </c>
      <c r="I19" s="123">
        <v>48</v>
      </c>
      <c r="J19" s="162">
        <v>3</v>
      </c>
      <c r="K19" s="123">
        <f t="shared" si="1"/>
        <v>45</v>
      </c>
      <c r="L19" s="123">
        <f t="shared" si="2"/>
        <v>29</v>
      </c>
    </row>
    <row r="20" spans="1:12" ht="12.75">
      <c r="A20" s="127" t="s">
        <v>280</v>
      </c>
      <c r="B20" s="170" t="s">
        <v>607</v>
      </c>
      <c r="C20" s="162">
        <v>5</v>
      </c>
      <c r="D20" s="162">
        <v>3</v>
      </c>
      <c r="E20" s="128">
        <f t="shared" si="3"/>
        <v>0.6</v>
      </c>
      <c r="F20" s="123">
        <f t="shared" si="0"/>
        <v>2</v>
      </c>
      <c r="G20" s="162">
        <v>7</v>
      </c>
      <c r="H20" s="162">
        <v>0</v>
      </c>
      <c r="I20" s="123">
        <v>0</v>
      </c>
      <c r="J20" s="162">
        <v>0</v>
      </c>
      <c r="K20" s="123">
        <f t="shared" si="1"/>
        <v>0</v>
      </c>
      <c r="L20" s="123">
        <f t="shared" si="2"/>
        <v>10</v>
      </c>
    </row>
    <row r="21" spans="1:12" ht="12.75">
      <c r="A21" s="220" t="s">
        <v>680</v>
      </c>
      <c r="B21" s="168" t="s">
        <v>681</v>
      </c>
      <c r="C21" s="213">
        <v>1</v>
      </c>
      <c r="D21" s="162">
        <v>1</v>
      </c>
      <c r="E21" s="214">
        <f t="shared" si="3"/>
        <v>1</v>
      </c>
      <c r="F21" s="123">
        <f t="shared" si="0"/>
        <v>0</v>
      </c>
      <c r="G21" s="162">
        <v>0</v>
      </c>
      <c r="H21" s="162">
        <v>0</v>
      </c>
      <c r="I21" s="162">
        <v>0</v>
      </c>
      <c r="J21" s="162">
        <v>0</v>
      </c>
      <c r="K21" s="123">
        <f t="shared" si="1"/>
        <v>0</v>
      </c>
      <c r="L21" s="123">
        <f t="shared" si="2"/>
        <v>1</v>
      </c>
    </row>
    <row r="22" spans="1:12" ht="12.75">
      <c r="A22" s="220" t="s">
        <v>682</v>
      </c>
      <c r="B22" s="168" t="s">
        <v>683</v>
      </c>
      <c r="C22" s="213">
        <v>1</v>
      </c>
      <c r="D22" s="162">
        <v>0</v>
      </c>
      <c r="E22" s="214">
        <f t="shared" si="3"/>
        <v>0</v>
      </c>
      <c r="F22" s="123">
        <f t="shared" si="0"/>
        <v>1</v>
      </c>
      <c r="G22" s="162">
        <v>0</v>
      </c>
      <c r="H22" s="162">
        <v>0</v>
      </c>
      <c r="I22" s="162">
        <v>0</v>
      </c>
      <c r="J22" s="162">
        <v>0</v>
      </c>
      <c r="K22" s="123">
        <f t="shared" si="1"/>
        <v>0</v>
      </c>
      <c r="L22" s="123">
        <f t="shared" si="2"/>
        <v>0</v>
      </c>
    </row>
    <row r="23" spans="1:12" ht="12.75">
      <c r="A23" s="127" t="s">
        <v>281</v>
      </c>
      <c r="B23" s="170" t="s">
        <v>608</v>
      </c>
      <c r="C23" s="162">
        <v>153</v>
      </c>
      <c r="D23" s="162">
        <v>113</v>
      </c>
      <c r="E23" s="128">
        <f t="shared" si="3"/>
        <v>0.738562091503268</v>
      </c>
      <c r="F23" s="123">
        <f t="shared" si="0"/>
        <v>40</v>
      </c>
      <c r="G23" s="162">
        <v>37</v>
      </c>
      <c r="H23" s="162">
        <v>17</v>
      </c>
      <c r="I23" s="123">
        <f>3+1+2+1</f>
        <v>7</v>
      </c>
      <c r="J23" s="162">
        <v>7</v>
      </c>
      <c r="K23" s="123">
        <f t="shared" si="1"/>
        <v>0</v>
      </c>
      <c r="L23" s="123">
        <f t="shared" si="2"/>
        <v>174</v>
      </c>
    </row>
    <row r="24" spans="1:13" ht="12.75">
      <c r="A24" s="127" t="s">
        <v>282</v>
      </c>
      <c r="B24" s="170" t="s">
        <v>609</v>
      </c>
      <c r="C24" s="162">
        <v>2</v>
      </c>
      <c r="D24" s="162">
        <v>2</v>
      </c>
      <c r="E24" s="128">
        <f t="shared" si="3"/>
        <v>1</v>
      </c>
      <c r="F24" s="123">
        <f t="shared" si="0"/>
        <v>0</v>
      </c>
      <c r="G24" s="162">
        <v>0</v>
      </c>
      <c r="H24" s="162">
        <v>1</v>
      </c>
      <c r="I24" s="123">
        <v>0</v>
      </c>
      <c r="J24" s="162">
        <v>0</v>
      </c>
      <c r="K24" s="123">
        <f t="shared" si="1"/>
        <v>0</v>
      </c>
      <c r="L24" s="123">
        <f t="shared" si="2"/>
        <v>3</v>
      </c>
      <c r="M24" s="207"/>
    </row>
    <row r="25" spans="1:12" ht="12.75">
      <c r="A25" s="127" t="s">
        <v>283</v>
      </c>
      <c r="B25" s="170" t="s">
        <v>610</v>
      </c>
      <c r="C25" s="162">
        <v>20</v>
      </c>
      <c r="D25" s="162">
        <v>13</v>
      </c>
      <c r="E25" s="128">
        <f t="shared" si="3"/>
        <v>0.65</v>
      </c>
      <c r="F25" s="123">
        <f t="shared" si="0"/>
        <v>7</v>
      </c>
      <c r="G25" s="162">
        <v>5</v>
      </c>
      <c r="H25" s="162">
        <v>0</v>
      </c>
      <c r="I25" s="123">
        <v>3</v>
      </c>
      <c r="J25" s="162">
        <v>1</v>
      </c>
      <c r="K25" s="123">
        <f t="shared" si="1"/>
        <v>2</v>
      </c>
      <c r="L25" s="123">
        <f t="shared" si="2"/>
        <v>19</v>
      </c>
    </row>
    <row r="26" spans="1:12" ht="12.75">
      <c r="A26" s="127" t="s">
        <v>284</v>
      </c>
      <c r="B26" s="170" t="s">
        <v>611</v>
      </c>
      <c r="C26" s="162">
        <v>39</v>
      </c>
      <c r="D26" s="162">
        <v>27</v>
      </c>
      <c r="E26" s="128">
        <f t="shared" si="3"/>
        <v>0.6923076923076923</v>
      </c>
      <c r="F26" s="123">
        <f t="shared" si="0"/>
        <v>12</v>
      </c>
      <c r="G26" s="162">
        <v>13</v>
      </c>
      <c r="H26" s="162">
        <v>4</v>
      </c>
      <c r="I26" s="123">
        <f>1+1</f>
        <v>2</v>
      </c>
      <c r="J26" s="162">
        <v>2</v>
      </c>
      <c r="K26" s="123">
        <f t="shared" si="1"/>
        <v>0</v>
      </c>
      <c r="L26" s="123">
        <f t="shared" si="2"/>
        <v>46</v>
      </c>
    </row>
    <row r="27" spans="1:12" ht="12.75">
      <c r="A27" s="127" t="s">
        <v>663</v>
      </c>
      <c r="B27" s="108" t="s">
        <v>662</v>
      </c>
      <c r="C27" s="208">
        <v>1</v>
      </c>
      <c r="D27" s="162">
        <v>1</v>
      </c>
      <c r="E27" s="128">
        <f t="shared" si="3"/>
        <v>1</v>
      </c>
      <c r="F27" s="123">
        <f t="shared" si="0"/>
        <v>0</v>
      </c>
      <c r="G27" s="162">
        <v>0</v>
      </c>
      <c r="H27" s="162">
        <v>0</v>
      </c>
      <c r="I27" s="123">
        <v>0</v>
      </c>
      <c r="J27" s="162">
        <v>0</v>
      </c>
      <c r="K27" s="123">
        <f t="shared" si="1"/>
        <v>0</v>
      </c>
      <c r="L27" s="123">
        <f t="shared" si="2"/>
        <v>1</v>
      </c>
    </row>
    <row r="28" spans="1:12" ht="12.75">
      <c r="A28" s="220" t="s">
        <v>684</v>
      </c>
      <c r="B28" s="168" t="s">
        <v>685</v>
      </c>
      <c r="C28" s="213">
        <v>1</v>
      </c>
      <c r="D28" s="162">
        <v>0</v>
      </c>
      <c r="E28" s="214">
        <f t="shared" si="3"/>
        <v>0</v>
      </c>
      <c r="F28" s="123">
        <f t="shared" si="0"/>
        <v>1</v>
      </c>
      <c r="G28" s="162">
        <v>0</v>
      </c>
      <c r="H28" s="162">
        <v>0</v>
      </c>
      <c r="I28" s="215">
        <v>0</v>
      </c>
      <c r="J28" s="162">
        <v>0</v>
      </c>
      <c r="K28" s="123">
        <f t="shared" si="1"/>
        <v>0</v>
      </c>
      <c r="L28" s="123">
        <f t="shared" si="2"/>
        <v>0</v>
      </c>
    </row>
    <row r="29" spans="1:12" ht="12.75">
      <c r="A29" s="127" t="s">
        <v>285</v>
      </c>
      <c r="B29" s="170" t="s">
        <v>612</v>
      </c>
      <c r="C29" s="162">
        <v>57</v>
      </c>
      <c r="D29" s="162">
        <v>51</v>
      </c>
      <c r="E29" s="128">
        <f t="shared" si="3"/>
        <v>0.8947368421052632</v>
      </c>
      <c r="F29" s="123">
        <f t="shared" si="0"/>
        <v>6</v>
      </c>
      <c r="G29" s="162">
        <v>19</v>
      </c>
      <c r="H29" s="162">
        <v>2</v>
      </c>
      <c r="I29" s="123">
        <v>2</v>
      </c>
      <c r="J29" s="162">
        <v>2</v>
      </c>
      <c r="K29" s="123">
        <f t="shared" si="1"/>
        <v>0</v>
      </c>
      <c r="L29" s="123">
        <f t="shared" si="2"/>
        <v>74</v>
      </c>
    </row>
    <row r="30" spans="1:12" ht="12.75">
      <c r="A30" s="127" t="s">
        <v>286</v>
      </c>
      <c r="B30" s="170" t="s">
        <v>613</v>
      </c>
      <c r="C30" s="162">
        <v>5</v>
      </c>
      <c r="D30" s="162">
        <v>0</v>
      </c>
      <c r="E30" s="128">
        <f t="shared" si="3"/>
        <v>0</v>
      </c>
      <c r="F30" s="123">
        <f t="shared" si="0"/>
        <v>5</v>
      </c>
      <c r="G30" s="162">
        <v>0</v>
      </c>
      <c r="H30" s="162">
        <v>0</v>
      </c>
      <c r="I30" s="123">
        <v>1</v>
      </c>
      <c r="J30" s="162">
        <v>1</v>
      </c>
      <c r="K30" s="123">
        <f t="shared" si="1"/>
        <v>0</v>
      </c>
      <c r="L30" s="123">
        <f t="shared" si="2"/>
        <v>1</v>
      </c>
    </row>
    <row r="31" spans="1:12" ht="12.75">
      <c r="A31" s="127" t="s">
        <v>287</v>
      </c>
      <c r="B31" s="170" t="s">
        <v>614</v>
      </c>
      <c r="C31" s="162">
        <v>3</v>
      </c>
      <c r="D31" s="162">
        <v>2</v>
      </c>
      <c r="E31" s="128">
        <f t="shared" si="3"/>
        <v>0.6666666666666666</v>
      </c>
      <c r="F31" s="123">
        <f t="shared" si="0"/>
        <v>1</v>
      </c>
      <c r="G31" s="162">
        <v>0</v>
      </c>
      <c r="H31" s="162">
        <v>0</v>
      </c>
      <c r="I31" s="123">
        <v>0</v>
      </c>
      <c r="J31" s="162">
        <v>0</v>
      </c>
      <c r="K31" s="123">
        <f t="shared" si="1"/>
        <v>0</v>
      </c>
      <c r="L31" s="123">
        <f t="shared" si="2"/>
        <v>2</v>
      </c>
    </row>
    <row r="32" spans="1:12" ht="12.75">
      <c r="A32" s="127" t="s">
        <v>288</v>
      </c>
      <c r="B32" s="170" t="s">
        <v>615</v>
      </c>
      <c r="C32" s="162">
        <v>2</v>
      </c>
      <c r="D32" s="162">
        <v>2</v>
      </c>
      <c r="E32" s="128">
        <f t="shared" si="3"/>
        <v>1</v>
      </c>
      <c r="F32" s="123">
        <f t="shared" si="0"/>
        <v>0</v>
      </c>
      <c r="G32" s="162">
        <v>0</v>
      </c>
      <c r="H32" s="162">
        <v>0</v>
      </c>
      <c r="I32" s="123">
        <v>0</v>
      </c>
      <c r="J32" s="162">
        <v>0</v>
      </c>
      <c r="K32" s="123">
        <f t="shared" si="1"/>
        <v>0</v>
      </c>
      <c r="L32" s="123">
        <f t="shared" si="2"/>
        <v>2</v>
      </c>
    </row>
    <row r="33" spans="1:12" ht="12.75">
      <c r="A33" s="127" t="s">
        <v>289</v>
      </c>
      <c r="B33" s="165" t="s">
        <v>616</v>
      </c>
      <c r="C33" s="162">
        <v>1</v>
      </c>
      <c r="D33" s="162">
        <v>1</v>
      </c>
      <c r="E33" s="128">
        <f t="shared" si="3"/>
        <v>1</v>
      </c>
      <c r="F33" s="123">
        <f t="shared" si="0"/>
        <v>0</v>
      </c>
      <c r="G33" s="162">
        <v>0</v>
      </c>
      <c r="H33" s="162">
        <v>0</v>
      </c>
      <c r="I33" s="123">
        <v>0</v>
      </c>
      <c r="J33" s="162">
        <v>0</v>
      </c>
      <c r="K33" s="123">
        <f t="shared" si="1"/>
        <v>0</v>
      </c>
      <c r="L33" s="123">
        <f t="shared" si="2"/>
        <v>1</v>
      </c>
    </row>
    <row r="34" spans="1:12" ht="12.75">
      <c r="A34" s="127" t="s">
        <v>290</v>
      </c>
      <c r="B34" s="165" t="s">
        <v>617</v>
      </c>
      <c r="C34" s="162">
        <v>6</v>
      </c>
      <c r="D34" s="162">
        <v>4</v>
      </c>
      <c r="E34" s="128">
        <f t="shared" si="3"/>
        <v>0.6666666666666666</v>
      </c>
      <c r="F34" s="123">
        <f t="shared" si="0"/>
        <v>2</v>
      </c>
      <c r="G34" s="162">
        <v>0</v>
      </c>
      <c r="H34" s="162">
        <v>1</v>
      </c>
      <c r="I34" s="123">
        <v>0</v>
      </c>
      <c r="J34" s="162">
        <v>0</v>
      </c>
      <c r="K34" s="123">
        <f t="shared" si="1"/>
        <v>0</v>
      </c>
      <c r="L34" s="123">
        <f t="shared" si="2"/>
        <v>5</v>
      </c>
    </row>
    <row r="35" spans="1:12" ht="12.75">
      <c r="A35" s="127" t="s">
        <v>291</v>
      </c>
      <c r="B35" s="165" t="s">
        <v>314</v>
      </c>
      <c r="C35" s="162">
        <v>141</v>
      </c>
      <c r="D35" s="162">
        <v>98</v>
      </c>
      <c r="E35" s="128">
        <f t="shared" si="3"/>
        <v>0.6950354609929078</v>
      </c>
      <c r="F35" s="123">
        <f t="shared" si="0"/>
        <v>43</v>
      </c>
      <c r="G35" s="162">
        <v>34</v>
      </c>
      <c r="H35" s="162">
        <v>8</v>
      </c>
      <c r="I35" s="123">
        <v>18</v>
      </c>
      <c r="J35" s="162">
        <v>2</v>
      </c>
      <c r="K35" s="123">
        <f t="shared" si="1"/>
        <v>16</v>
      </c>
      <c r="L35" s="123">
        <f t="shared" si="2"/>
        <v>142</v>
      </c>
    </row>
    <row r="36" spans="1:12" ht="12.75">
      <c r="A36" s="127" t="s">
        <v>292</v>
      </c>
      <c r="B36" s="165" t="s">
        <v>618</v>
      </c>
      <c r="C36" s="162">
        <v>14</v>
      </c>
      <c r="D36" s="162">
        <v>10</v>
      </c>
      <c r="E36" s="203">
        <f t="shared" si="3"/>
        <v>0.7142857142857143</v>
      </c>
      <c r="F36" s="123">
        <f t="shared" si="0"/>
        <v>4</v>
      </c>
      <c r="G36" s="162">
        <v>13</v>
      </c>
      <c r="H36" s="162">
        <v>0</v>
      </c>
      <c r="I36" s="162">
        <v>0</v>
      </c>
      <c r="J36" s="162">
        <v>0</v>
      </c>
      <c r="K36" s="123">
        <f t="shared" si="1"/>
        <v>0</v>
      </c>
      <c r="L36" s="123">
        <f t="shared" si="2"/>
        <v>23</v>
      </c>
    </row>
    <row r="37" spans="1:12" ht="12.75">
      <c r="A37" s="127" t="s">
        <v>293</v>
      </c>
      <c r="B37" s="165" t="s">
        <v>619</v>
      </c>
      <c r="C37" s="162">
        <v>3</v>
      </c>
      <c r="D37" s="162">
        <v>3</v>
      </c>
      <c r="E37" s="203">
        <f t="shared" si="3"/>
        <v>1</v>
      </c>
      <c r="F37" s="123">
        <f t="shared" si="0"/>
        <v>0</v>
      </c>
      <c r="G37" s="162">
        <v>0</v>
      </c>
      <c r="H37" s="162">
        <v>0</v>
      </c>
      <c r="I37" s="162">
        <v>0</v>
      </c>
      <c r="J37" s="162">
        <v>0</v>
      </c>
      <c r="K37" s="123">
        <f t="shared" si="1"/>
        <v>0</v>
      </c>
      <c r="L37" s="123">
        <f t="shared" si="2"/>
        <v>3</v>
      </c>
    </row>
    <row r="38" spans="1:12" ht="12.75">
      <c r="A38" s="127" t="s">
        <v>318</v>
      </c>
      <c r="B38" s="165" t="s">
        <v>620</v>
      </c>
      <c r="C38" s="162">
        <v>1</v>
      </c>
      <c r="D38" s="162">
        <v>0</v>
      </c>
      <c r="E38" s="203">
        <f t="shared" si="3"/>
        <v>0</v>
      </c>
      <c r="F38" s="123">
        <f>C38-D38</f>
        <v>1</v>
      </c>
      <c r="G38" s="162">
        <v>2</v>
      </c>
      <c r="H38" s="162">
        <v>0</v>
      </c>
      <c r="I38" s="162">
        <v>0</v>
      </c>
      <c r="J38" s="162">
        <v>0</v>
      </c>
      <c r="K38" s="169">
        <f>I38-J38</f>
        <v>0</v>
      </c>
      <c r="L38" s="123">
        <f t="shared" si="2"/>
        <v>2</v>
      </c>
    </row>
    <row r="39" spans="2:12" ht="12.75">
      <c r="B39" s="60"/>
      <c r="C39" s="136" t="s">
        <v>16</v>
      </c>
      <c r="D39" s="136" t="s">
        <v>16</v>
      </c>
      <c r="E39" s="60" t="s">
        <v>95</v>
      </c>
      <c r="F39" s="136" t="s">
        <v>16</v>
      </c>
      <c r="G39" s="136" t="s">
        <v>16</v>
      </c>
      <c r="H39" s="136" t="s">
        <v>94</v>
      </c>
      <c r="I39" s="136" t="s">
        <v>17</v>
      </c>
      <c r="J39" s="136" t="s">
        <v>16</v>
      </c>
      <c r="K39" s="136" t="s">
        <v>16</v>
      </c>
      <c r="L39" s="136" t="s">
        <v>16</v>
      </c>
    </row>
    <row r="40" spans="2:12" ht="12.75">
      <c r="B40" s="100" t="s">
        <v>180</v>
      </c>
      <c r="C40" s="124">
        <f>SUM(C6:C38)</f>
        <v>842</v>
      </c>
      <c r="D40" s="124">
        <f>SUM(D6:D38)</f>
        <v>575</v>
      </c>
      <c r="E40" s="133">
        <f>D40/C40</f>
        <v>0.6828978622327792</v>
      </c>
      <c r="F40" s="124">
        <f aca="true" t="shared" si="4" ref="F40:L40">SUM(F6:F38)</f>
        <v>267</v>
      </c>
      <c r="G40" s="124">
        <f t="shared" si="4"/>
        <v>194</v>
      </c>
      <c r="H40" s="124">
        <f t="shared" si="4"/>
        <v>54</v>
      </c>
      <c r="I40" s="124">
        <f t="shared" si="4"/>
        <v>123</v>
      </c>
      <c r="J40" s="124">
        <f t="shared" si="4"/>
        <v>34</v>
      </c>
      <c r="K40" s="124">
        <f t="shared" si="4"/>
        <v>89</v>
      </c>
      <c r="L40" s="124">
        <f t="shared" si="4"/>
        <v>857</v>
      </c>
    </row>
    <row r="41" spans="2:12" ht="12">
      <c r="B41" s="53"/>
      <c r="C41" s="129" t="s">
        <v>34</v>
      </c>
      <c r="D41" s="129"/>
      <c r="E41" s="143"/>
      <c r="F41" s="129"/>
      <c r="G41" s="129"/>
      <c r="H41" s="129"/>
      <c r="I41" s="129"/>
      <c r="J41" s="129"/>
      <c r="K41" s="129"/>
      <c r="L41" s="129"/>
    </row>
    <row r="42" spans="2:12" ht="1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2:12" ht="12">
      <c r="B43" s="53"/>
      <c r="C43" s="53"/>
      <c r="D43" s="92" t="s">
        <v>622</v>
      </c>
      <c r="E43" s="53"/>
      <c r="F43" s="53"/>
      <c r="G43" s="53"/>
      <c r="H43" s="53"/>
      <c r="I43" s="53"/>
      <c r="J43" s="53"/>
      <c r="K43" s="53"/>
      <c r="L43" s="87"/>
    </row>
    <row r="44" spans="2:12" ht="12">
      <c r="B44" s="53"/>
      <c r="C44" s="53"/>
      <c r="D44" s="53"/>
      <c r="E44" s="53"/>
      <c r="F44" s="111" t="s">
        <v>173</v>
      </c>
      <c r="G44" s="111"/>
      <c r="H44" s="53"/>
      <c r="I44" s="111"/>
      <c r="J44" s="111"/>
      <c r="K44" s="53"/>
      <c r="L44" s="87"/>
    </row>
    <row r="45" spans="2:12" ht="12.75">
      <c r="B45" s="91" t="s">
        <v>18</v>
      </c>
      <c r="C45" s="53"/>
      <c r="D45" s="136">
        <f>C40</f>
        <v>842</v>
      </c>
      <c r="E45" s="53"/>
      <c r="F45" s="111" t="s">
        <v>625</v>
      </c>
      <c r="G45" s="111"/>
      <c r="H45" s="140"/>
      <c r="I45" s="111"/>
      <c r="J45" s="53"/>
      <c r="K45" s="53"/>
      <c r="L45" s="87"/>
    </row>
    <row r="46" spans="2:12" ht="12.75">
      <c r="B46" s="75" t="s">
        <v>623</v>
      </c>
      <c r="C46" s="79"/>
      <c r="D46" s="195">
        <f>L40-SUM(D50:D51)-D47</f>
        <v>575</v>
      </c>
      <c r="E46" s="53"/>
      <c r="F46" s="111"/>
      <c r="G46" s="111"/>
      <c r="H46" s="140"/>
      <c r="I46" s="111"/>
      <c r="J46" s="53"/>
      <c r="K46" s="53"/>
      <c r="L46" s="87"/>
    </row>
    <row r="47" spans="2:12" ht="12.75">
      <c r="B47" s="93" t="s">
        <v>19</v>
      </c>
      <c r="C47" s="53"/>
      <c r="D47" s="136">
        <f>H40</f>
        <v>54</v>
      </c>
      <c r="E47" s="53"/>
      <c r="F47" s="112" t="s">
        <v>87</v>
      </c>
      <c r="G47" s="53"/>
      <c r="H47" s="140"/>
      <c r="I47" s="53"/>
      <c r="J47" s="53"/>
      <c r="K47" s="53"/>
      <c r="L47" s="87"/>
    </row>
    <row r="48" spans="2:12" ht="12.75">
      <c r="B48" s="93" t="s">
        <v>20</v>
      </c>
      <c r="C48" s="53"/>
      <c r="D48" s="196">
        <f>D46/D45</f>
        <v>0.6828978622327792</v>
      </c>
      <c r="E48" s="53"/>
      <c r="F48" s="111" t="s">
        <v>88</v>
      </c>
      <c r="G48" s="53"/>
      <c r="H48" s="140"/>
      <c r="I48" s="53"/>
      <c r="J48" s="53"/>
      <c r="K48" s="53"/>
      <c r="L48" s="87"/>
    </row>
    <row r="49" spans="2:12" ht="12">
      <c r="B49" s="53"/>
      <c r="C49" s="53"/>
      <c r="D49" s="76"/>
      <c r="E49" s="53"/>
      <c r="F49" s="53"/>
      <c r="G49" s="53"/>
      <c r="H49" s="53"/>
      <c r="I49" s="53"/>
      <c r="J49" s="53"/>
      <c r="K49" s="53"/>
      <c r="L49" s="87"/>
    </row>
    <row r="50" spans="2:12" ht="12.75">
      <c r="B50" s="53" t="s">
        <v>22</v>
      </c>
      <c r="C50" s="53"/>
      <c r="D50" s="136">
        <f>G40</f>
        <v>194</v>
      </c>
      <c r="E50" s="53"/>
      <c r="F50" s="53"/>
      <c r="G50" s="53"/>
      <c r="H50" s="140"/>
      <c r="I50" s="53"/>
      <c r="J50" s="53"/>
      <c r="K50" s="53"/>
      <c r="L50" s="87"/>
    </row>
    <row r="51" spans="2:12" ht="12.75">
      <c r="B51" s="53" t="s">
        <v>23</v>
      </c>
      <c r="C51" s="53"/>
      <c r="D51" s="136">
        <f>J40</f>
        <v>34</v>
      </c>
      <c r="E51" s="127"/>
      <c r="F51" s="108"/>
      <c r="G51" s="123"/>
      <c r="H51" s="140"/>
      <c r="I51" s="123"/>
      <c r="J51" s="128"/>
      <c r="K51" s="171"/>
      <c r="L51" s="123"/>
    </row>
    <row r="52" spans="2:12" ht="12.75">
      <c r="B52" s="53"/>
      <c r="C52" s="53"/>
      <c r="D52" s="79"/>
      <c r="E52" s="127"/>
      <c r="F52" s="130" t="s">
        <v>34</v>
      </c>
      <c r="G52" s="123"/>
      <c r="H52" s="53"/>
      <c r="I52" s="123"/>
      <c r="J52" s="128"/>
      <c r="K52" s="171"/>
      <c r="L52" s="123"/>
    </row>
    <row r="53" spans="2:12" ht="12.75">
      <c r="B53" s="94" t="s">
        <v>149</v>
      </c>
      <c r="C53" s="53"/>
      <c r="D53" s="136">
        <f>D46+D47+D50+D51</f>
        <v>857</v>
      </c>
      <c r="E53" s="127"/>
      <c r="F53" s="108"/>
      <c r="G53" s="123"/>
      <c r="H53" s="140"/>
      <c r="I53" s="123"/>
      <c r="J53" s="128"/>
      <c r="K53" s="171"/>
      <c r="L53" s="123"/>
    </row>
    <row r="54" spans="2:12" ht="12.75">
      <c r="B54" s="94"/>
      <c r="C54" s="53"/>
      <c r="D54" s="136"/>
      <c r="E54" s="127"/>
      <c r="F54" s="108"/>
      <c r="G54" s="123"/>
      <c r="H54" s="140"/>
      <c r="I54" s="123"/>
      <c r="J54" s="128"/>
      <c r="K54" s="171"/>
      <c r="L54" s="123"/>
    </row>
    <row r="55" spans="2:12" ht="12.75">
      <c r="B55" s="94"/>
      <c r="C55" s="53"/>
      <c r="D55" s="136"/>
      <c r="E55" s="127"/>
      <c r="F55" s="108"/>
      <c r="G55" s="123"/>
      <c r="H55" s="140"/>
      <c r="I55" s="123"/>
      <c r="J55" s="128"/>
      <c r="K55" s="171"/>
      <c r="L55" s="123"/>
    </row>
    <row r="56" spans="2:12" ht="15">
      <c r="B56" s="211" t="s">
        <v>668</v>
      </c>
      <c r="C56" s="53"/>
      <c r="D56" s="79"/>
      <c r="E56" s="127"/>
      <c r="F56" s="108"/>
      <c r="G56" s="123"/>
      <c r="H56" s="53"/>
      <c r="I56" s="123"/>
      <c r="J56" s="128"/>
      <c r="K56" s="171"/>
      <c r="L56" s="123"/>
    </row>
    <row r="62" spans="1:12" ht="12.75">
      <c r="A62" s="127"/>
      <c r="B62" s="165"/>
      <c r="C62" s="162"/>
      <c r="D62" s="123"/>
      <c r="E62" s="128"/>
      <c r="F62" s="123"/>
      <c r="G62" s="123"/>
      <c r="H62" s="123"/>
      <c r="I62" s="123"/>
      <c r="J62" s="123"/>
      <c r="K62" s="123"/>
      <c r="L62" s="123"/>
    </row>
  </sheetData>
  <printOptions gridLines="1" horizontalCentered="1"/>
  <pageMargins left="0.25" right="0.26" top="0.65" bottom="0.32" header="0.38" footer="0.16"/>
  <pageSetup horizontalDpi="300" verticalDpi="300" orientation="portrait" scale="73" r:id="rId1"/>
  <headerFooter alignWithMargins="0">
    <oddHeader>&amp;C&amp;12Month Ending June 30, 2010
</oddHeader>
    <oddFooter>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95"/>
  <sheetViews>
    <sheetView zoomScale="75" zoomScaleNormal="75" workbookViewId="0" topLeftCell="A1">
      <selection activeCell="G36" sqref="G36"/>
    </sheetView>
  </sheetViews>
  <sheetFormatPr defaultColWidth="9.140625" defaultRowHeight="12.75"/>
  <cols>
    <col min="1" max="1" width="28.421875" style="108" customWidth="1"/>
    <col min="2" max="2" width="9.00390625" style="25" customWidth="1"/>
    <col min="3" max="3" width="10.140625" style="25" customWidth="1"/>
    <col min="4" max="4" width="9.421875" style="25" customWidth="1"/>
    <col min="5" max="5" width="9.57421875" style="25" customWidth="1"/>
    <col min="6" max="6" width="10.28125" style="25" customWidth="1"/>
    <col min="7" max="7" width="9.7109375" style="25" customWidth="1"/>
    <col min="8" max="8" width="9.421875" style="25" customWidth="1"/>
    <col min="9" max="9" width="7.57421875" style="25" customWidth="1"/>
    <col min="10" max="10" width="8.7109375" style="25" customWidth="1"/>
    <col min="11" max="11" width="11.57421875" style="25" customWidth="1"/>
    <col min="12" max="16384" width="9.140625" style="25" customWidth="1"/>
  </cols>
  <sheetData>
    <row r="1" spans="1:11" s="67" customFormat="1" ht="12.75">
      <c r="A1" s="163" t="s">
        <v>693</v>
      </c>
      <c r="B1" s="102">
        <v>1</v>
      </c>
      <c r="C1" s="102">
        <v>2</v>
      </c>
      <c r="D1" s="102">
        <v>3</v>
      </c>
      <c r="E1" s="102">
        <v>4</v>
      </c>
      <c r="F1" s="102">
        <v>5</v>
      </c>
      <c r="G1" s="102">
        <v>6</v>
      </c>
      <c r="H1" s="102">
        <v>7</v>
      </c>
      <c r="I1" s="102">
        <v>8</v>
      </c>
      <c r="J1" s="102">
        <v>9</v>
      </c>
      <c r="K1" s="102">
        <v>10</v>
      </c>
    </row>
    <row r="2" spans="2:12" s="68" customFormat="1" ht="54" customHeight="1">
      <c r="B2" s="72" t="s">
        <v>509</v>
      </c>
      <c r="C2" s="72" t="s">
        <v>305</v>
      </c>
      <c r="D2" s="72" t="s">
        <v>186</v>
      </c>
      <c r="E2" s="72" t="s">
        <v>187</v>
      </c>
      <c r="F2" s="72" t="s">
        <v>306</v>
      </c>
      <c r="G2" s="72" t="s">
        <v>621</v>
      </c>
      <c r="H2" s="72" t="s">
        <v>510</v>
      </c>
      <c r="I2" s="72" t="s">
        <v>188</v>
      </c>
      <c r="J2" s="72" t="s">
        <v>189</v>
      </c>
      <c r="K2" s="210" t="s">
        <v>667</v>
      </c>
      <c r="L2" s="72"/>
    </row>
    <row r="3" spans="1:12" ht="12.75">
      <c r="A3" s="60"/>
      <c r="B3" s="53"/>
      <c r="C3" s="53"/>
      <c r="D3" s="53"/>
      <c r="E3" s="53"/>
      <c r="F3" s="53"/>
      <c r="G3" s="53"/>
      <c r="H3" s="53"/>
      <c r="I3" s="53"/>
      <c r="J3" s="53"/>
      <c r="K3" s="53"/>
      <c r="L3" s="66"/>
    </row>
    <row r="4" spans="1:22" ht="15">
      <c r="A4" s="120" t="s">
        <v>150</v>
      </c>
      <c r="B4" s="120"/>
      <c r="C4" s="120"/>
      <c r="D4" s="120"/>
      <c r="E4" s="120"/>
      <c r="F4" s="120"/>
      <c r="G4" s="120"/>
      <c r="H4" s="120"/>
      <c r="I4" s="120"/>
      <c r="J4" s="123"/>
      <c r="K4" s="13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22" s="108" customFormat="1" ht="15.75" customHeight="1">
      <c r="A5" s="60" t="s">
        <v>151</v>
      </c>
      <c r="B5" s="169">
        <v>19878</v>
      </c>
      <c r="C5" s="162">
        <v>17417</v>
      </c>
      <c r="D5" s="203">
        <f aca="true" t="shared" si="0" ref="D5:D14">C5/B5</f>
        <v>0.8761947882080692</v>
      </c>
      <c r="E5" s="162">
        <f>B5-C5</f>
        <v>2461</v>
      </c>
      <c r="F5" s="162">
        <v>843</v>
      </c>
      <c r="G5" s="162">
        <v>314</v>
      </c>
      <c r="H5" s="123">
        <f>1008+2+1+1+1</f>
        <v>1013</v>
      </c>
      <c r="I5" s="162">
        <v>367</v>
      </c>
      <c r="J5" s="123">
        <f aca="true" t="shared" si="1" ref="J5:J14">H5-I5</f>
        <v>646</v>
      </c>
      <c r="K5" s="169">
        <f>C5+F5+G5+I5</f>
        <v>18941</v>
      </c>
      <c r="L5" s="172"/>
      <c r="M5" s="170"/>
      <c r="N5" s="169"/>
      <c r="O5" s="169"/>
      <c r="P5" s="169"/>
      <c r="Q5" s="169"/>
      <c r="R5" s="200"/>
      <c r="S5" s="169"/>
      <c r="T5" s="169"/>
      <c r="U5" s="169"/>
      <c r="V5" s="169"/>
    </row>
    <row r="6" spans="1:22" s="108" customFormat="1" ht="12.75">
      <c r="A6" s="60" t="s">
        <v>152</v>
      </c>
      <c r="B6" s="169">
        <v>8944</v>
      </c>
      <c r="C6" s="162">
        <v>7699</v>
      </c>
      <c r="D6" s="203">
        <f t="shared" si="0"/>
        <v>0.8608005366726297</v>
      </c>
      <c r="E6" s="162">
        <f aca="true" t="shared" si="2" ref="E6:E14">B6-C6</f>
        <v>1245</v>
      </c>
      <c r="F6" s="162">
        <v>439</v>
      </c>
      <c r="G6" s="162">
        <v>143</v>
      </c>
      <c r="H6" s="169">
        <v>465</v>
      </c>
      <c r="I6" s="162">
        <v>174</v>
      </c>
      <c r="J6" s="169">
        <f t="shared" si="1"/>
        <v>291</v>
      </c>
      <c r="K6" s="169">
        <f aca="true" t="shared" si="3" ref="K6:K13">C6+F6+G6+I6</f>
        <v>8455</v>
      </c>
      <c r="L6" s="172"/>
      <c r="M6" s="170"/>
      <c r="N6" s="169"/>
      <c r="O6" s="169"/>
      <c r="P6" s="169"/>
      <c r="Q6" s="169"/>
      <c r="R6" s="200"/>
      <c r="S6" s="169"/>
      <c r="T6" s="169"/>
      <c r="U6" s="169"/>
      <c r="V6" s="169"/>
    </row>
    <row r="7" spans="1:22" s="108" customFormat="1" ht="12.75">
      <c r="A7" s="60" t="s">
        <v>153</v>
      </c>
      <c r="B7" s="169">
        <f>10720+2</f>
        <v>10722</v>
      </c>
      <c r="C7" s="162">
        <v>9199</v>
      </c>
      <c r="D7" s="203">
        <f t="shared" si="0"/>
        <v>0.8579556052975191</v>
      </c>
      <c r="E7" s="162">
        <f t="shared" si="2"/>
        <v>1523</v>
      </c>
      <c r="F7" s="162">
        <v>523</v>
      </c>
      <c r="G7" s="162">
        <v>172</v>
      </c>
      <c r="H7" s="169">
        <f>537+2+1</f>
        <v>540</v>
      </c>
      <c r="I7" s="162">
        <v>205</v>
      </c>
      <c r="J7" s="123">
        <f t="shared" si="1"/>
        <v>335</v>
      </c>
      <c r="K7" s="169">
        <f t="shared" si="3"/>
        <v>10099</v>
      </c>
      <c r="L7" s="172"/>
      <c r="M7" s="170"/>
      <c r="N7" s="169"/>
      <c r="O7" s="169"/>
      <c r="P7" s="169"/>
      <c r="Q7" s="169"/>
      <c r="R7" s="200"/>
      <c r="S7" s="169"/>
      <c r="T7" s="169"/>
      <c r="U7" s="169"/>
      <c r="V7" s="169"/>
    </row>
    <row r="8" spans="1:22" s="108" customFormat="1" ht="12.75">
      <c r="A8" s="60" t="s">
        <v>154</v>
      </c>
      <c r="B8" s="169">
        <f>12773+1+1</f>
        <v>12775</v>
      </c>
      <c r="C8" s="162">
        <v>10926</v>
      </c>
      <c r="D8" s="203">
        <f t="shared" si="0"/>
        <v>0.8552641878669276</v>
      </c>
      <c r="E8" s="162">
        <f t="shared" si="2"/>
        <v>1849</v>
      </c>
      <c r="F8" s="162">
        <v>728</v>
      </c>
      <c r="G8" s="162">
        <v>218</v>
      </c>
      <c r="H8" s="169">
        <f>588+2+1+1</f>
        <v>592</v>
      </c>
      <c r="I8" s="162">
        <v>252</v>
      </c>
      <c r="J8" s="123">
        <f t="shared" si="1"/>
        <v>340</v>
      </c>
      <c r="K8" s="169">
        <f t="shared" si="3"/>
        <v>12124</v>
      </c>
      <c r="L8" s="172"/>
      <c r="M8" s="170"/>
      <c r="N8" s="169"/>
      <c r="O8" s="169"/>
      <c r="P8" s="169"/>
      <c r="Q8" s="169"/>
      <c r="R8" s="200"/>
      <c r="S8" s="169"/>
      <c r="T8" s="169"/>
      <c r="U8" s="169"/>
      <c r="V8" s="169"/>
    </row>
    <row r="9" spans="1:22" s="108" customFormat="1" ht="12.75">
      <c r="A9" s="60" t="s">
        <v>155</v>
      </c>
      <c r="B9" s="169">
        <f>14436+1+3</f>
        <v>14440</v>
      </c>
      <c r="C9" s="162">
        <v>12371</v>
      </c>
      <c r="D9" s="203">
        <f t="shared" si="0"/>
        <v>0.8567174515235457</v>
      </c>
      <c r="E9" s="162">
        <f t="shared" si="2"/>
        <v>2069</v>
      </c>
      <c r="F9" s="162">
        <v>991</v>
      </c>
      <c r="G9" s="162">
        <v>308</v>
      </c>
      <c r="H9" s="169">
        <f>628+6+1+3</f>
        <v>638</v>
      </c>
      <c r="I9" s="162">
        <v>255</v>
      </c>
      <c r="J9" s="123">
        <f t="shared" si="1"/>
        <v>383</v>
      </c>
      <c r="K9" s="169">
        <f t="shared" si="3"/>
        <v>13925</v>
      </c>
      <c r="L9" s="172"/>
      <c r="M9" s="170"/>
      <c r="N9" s="169"/>
      <c r="O9" s="169"/>
      <c r="P9" s="169"/>
      <c r="Q9" s="169"/>
      <c r="R9" s="200"/>
      <c r="S9" s="169"/>
      <c r="T9" s="169"/>
      <c r="U9" s="169"/>
      <c r="V9" s="169"/>
    </row>
    <row r="10" spans="1:22" s="108" customFormat="1" ht="12.75">
      <c r="A10" s="60" t="s">
        <v>156</v>
      </c>
      <c r="B10" s="169">
        <f>13015+1</f>
        <v>13016</v>
      </c>
      <c r="C10" s="162">
        <v>11434</v>
      </c>
      <c r="D10" s="203">
        <f t="shared" si="0"/>
        <v>0.8784572833435771</v>
      </c>
      <c r="E10" s="162">
        <f t="shared" si="2"/>
        <v>1582</v>
      </c>
      <c r="F10" s="162">
        <v>560</v>
      </c>
      <c r="G10" s="162">
        <v>229</v>
      </c>
      <c r="H10" s="169">
        <f>672+1+2+3+3+1</f>
        <v>682</v>
      </c>
      <c r="I10" s="162">
        <v>225</v>
      </c>
      <c r="J10" s="123">
        <f t="shared" si="1"/>
        <v>457</v>
      </c>
      <c r="K10" s="169">
        <f t="shared" si="3"/>
        <v>12448</v>
      </c>
      <c r="L10" s="172"/>
      <c r="M10" s="170"/>
      <c r="N10" s="169"/>
      <c r="O10" s="169"/>
      <c r="P10" s="169"/>
      <c r="Q10" s="169"/>
      <c r="R10" s="200"/>
      <c r="S10" s="169"/>
      <c r="T10" s="169"/>
      <c r="U10" s="169"/>
      <c r="V10" s="169"/>
    </row>
    <row r="11" spans="1:22" s="108" customFormat="1" ht="12.75">
      <c r="A11" s="60" t="s">
        <v>303</v>
      </c>
      <c r="B11" s="169">
        <f>2630+1+3+1+2+2</f>
        <v>2639</v>
      </c>
      <c r="C11" s="162">
        <v>2138</v>
      </c>
      <c r="D11" s="203">
        <f t="shared" si="0"/>
        <v>0.8101553618794998</v>
      </c>
      <c r="E11" s="162">
        <f t="shared" si="2"/>
        <v>501</v>
      </c>
      <c r="F11" s="162">
        <v>666</v>
      </c>
      <c r="G11" s="162">
        <v>83</v>
      </c>
      <c r="H11" s="169">
        <f>139+5+4</f>
        <v>148</v>
      </c>
      <c r="I11" s="162">
        <v>37</v>
      </c>
      <c r="J11" s="169">
        <f t="shared" si="1"/>
        <v>111</v>
      </c>
      <c r="K11" s="169">
        <f>C11+F11+G11+I11</f>
        <v>2924</v>
      </c>
      <c r="L11" s="172"/>
      <c r="M11" s="170"/>
      <c r="N11" s="169"/>
      <c r="O11" s="169"/>
      <c r="P11" s="169"/>
      <c r="Q11" s="169"/>
      <c r="R11" s="200"/>
      <c r="S11" s="169"/>
      <c r="T11" s="169"/>
      <c r="U11" s="169"/>
      <c r="V11" s="169"/>
    </row>
    <row r="12" spans="1:22" s="108" customFormat="1" ht="12.75">
      <c r="A12" s="60" t="s">
        <v>157</v>
      </c>
      <c r="B12" s="169">
        <f>2085+6+3</f>
        <v>2094</v>
      </c>
      <c r="C12" s="162">
        <v>1879</v>
      </c>
      <c r="D12" s="203">
        <f t="shared" si="0"/>
        <v>0.8973256924546322</v>
      </c>
      <c r="E12" s="162">
        <f t="shared" si="2"/>
        <v>215</v>
      </c>
      <c r="F12" s="162">
        <v>456</v>
      </c>
      <c r="G12" s="162">
        <v>57</v>
      </c>
      <c r="H12" s="169">
        <f>40+8+1+1</f>
        <v>50</v>
      </c>
      <c r="I12" s="162">
        <v>40</v>
      </c>
      <c r="J12" s="123">
        <f t="shared" si="1"/>
        <v>10</v>
      </c>
      <c r="K12" s="169">
        <f t="shared" si="3"/>
        <v>2432</v>
      </c>
      <c r="L12" s="172"/>
      <c r="M12" s="170"/>
      <c r="N12" s="169"/>
      <c r="O12" s="169"/>
      <c r="P12" s="169"/>
      <c r="Q12" s="169"/>
      <c r="R12" s="200"/>
      <c r="S12" s="169"/>
      <c r="T12" s="169"/>
      <c r="U12" s="169"/>
      <c r="V12" s="169"/>
    </row>
    <row r="13" spans="1:22" s="108" customFormat="1" ht="12.75">
      <c r="A13" s="60" t="s">
        <v>304</v>
      </c>
      <c r="B13" s="123">
        <f>794+38+3+4+1</f>
        <v>840</v>
      </c>
      <c r="C13" s="162">
        <v>701</v>
      </c>
      <c r="D13" s="203">
        <f t="shared" si="0"/>
        <v>0.8345238095238096</v>
      </c>
      <c r="E13" s="162">
        <f>B13-C13</f>
        <v>139</v>
      </c>
      <c r="F13" s="162">
        <v>876</v>
      </c>
      <c r="G13" s="162">
        <v>44</v>
      </c>
      <c r="H13" s="169">
        <f>60+1</f>
        <v>61</v>
      </c>
      <c r="I13" s="162">
        <v>16</v>
      </c>
      <c r="J13" s="123">
        <f t="shared" si="1"/>
        <v>45</v>
      </c>
      <c r="K13" s="169">
        <f t="shared" si="3"/>
        <v>1637</v>
      </c>
      <c r="L13" s="172"/>
      <c r="M13" s="170"/>
      <c r="N13" s="169"/>
      <c r="O13" s="169"/>
      <c r="P13" s="169"/>
      <c r="Q13" s="169"/>
      <c r="R13" s="200"/>
      <c r="S13" s="169"/>
      <c r="T13" s="169"/>
      <c r="U13" s="169"/>
      <c r="V13" s="169"/>
    </row>
    <row r="14" spans="1:22" s="108" customFormat="1" ht="12.75">
      <c r="A14" s="60" t="s">
        <v>158</v>
      </c>
      <c r="B14" s="169">
        <v>842</v>
      </c>
      <c r="C14" s="162">
        <v>575</v>
      </c>
      <c r="D14" s="203">
        <f t="shared" si="0"/>
        <v>0.6828978622327792</v>
      </c>
      <c r="E14" s="162">
        <f t="shared" si="2"/>
        <v>267</v>
      </c>
      <c r="F14" s="162">
        <v>194</v>
      </c>
      <c r="G14" s="162">
        <v>54</v>
      </c>
      <c r="H14" s="169">
        <f>118+1+1+2+1</f>
        <v>123</v>
      </c>
      <c r="I14" s="162">
        <v>34</v>
      </c>
      <c r="J14" s="123">
        <f t="shared" si="1"/>
        <v>89</v>
      </c>
      <c r="K14" s="169">
        <f>C14+F14+G14+I14</f>
        <v>857</v>
      </c>
      <c r="L14" s="172"/>
      <c r="M14" s="170"/>
      <c r="N14" s="169"/>
      <c r="O14" s="169"/>
      <c r="P14" s="169"/>
      <c r="Q14" s="169"/>
      <c r="R14" s="200"/>
      <c r="S14" s="169"/>
      <c r="T14" s="169"/>
      <c r="U14" s="169"/>
      <c r="V14" s="169"/>
    </row>
    <row r="15" spans="1:22" s="108" customFormat="1" ht="12.75">
      <c r="A15" s="60"/>
      <c r="B15" s="136" t="s">
        <v>16</v>
      </c>
      <c r="C15" s="136" t="s">
        <v>16</v>
      </c>
      <c r="D15" s="136" t="s">
        <v>95</v>
      </c>
      <c r="E15" s="60" t="s">
        <v>16</v>
      </c>
      <c r="F15" s="136" t="s">
        <v>16</v>
      </c>
      <c r="G15" s="136" t="s">
        <v>94</v>
      </c>
      <c r="H15" s="136" t="s">
        <v>17</v>
      </c>
      <c r="I15" s="136" t="s">
        <v>16</v>
      </c>
      <c r="J15" s="136" t="s">
        <v>16</v>
      </c>
      <c r="K15" s="136" t="s">
        <v>17</v>
      </c>
      <c r="L15" s="172"/>
      <c r="M15" s="170"/>
      <c r="N15" s="169"/>
      <c r="O15" s="169"/>
      <c r="P15" s="169"/>
      <c r="Q15" s="169"/>
      <c r="R15" s="200"/>
      <c r="S15" s="169"/>
      <c r="T15" s="169"/>
      <c r="U15" s="169"/>
      <c r="V15" s="169"/>
    </row>
    <row r="16" spans="1:22" s="108" customFormat="1" ht="12.75">
      <c r="A16" s="60" t="s">
        <v>96</v>
      </c>
      <c r="B16" s="136">
        <f>SUM(B5:B14)</f>
        <v>86190</v>
      </c>
      <c r="C16" s="136">
        <f>SUM(C5:C14)</f>
        <v>74339</v>
      </c>
      <c r="D16" s="203">
        <f>C16/B16</f>
        <v>0.8625014502842557</v>
      </c>
      <c r="E16" s="136">
        <f aca="true" t="shared" si="4" ref="E16:J16">SUM(E5:E14)</f>
        <v>11851</v>
      </c>
      <c r="F16" s="136">
        <f t="shared" si="4"/>
        <v>6276</v>
      </c>
      <c r="G16" s="136">
        <f>SUM(G5:G14)</f>
        <v>1622</v>
      </c>
      <c r="H16" s="136">
        <f t="shared" si="4"/>
        <v>4312</v>
      </c>
      <c r="I16" s="136">
        <f t="shared" si="4"/>
        <v>1605</v>
      </c>
      <c r="J16" s="136">
        <f t="shared" si="4"/>
        <v>2707</v>
      </c>
      <c r="K16" s="136">
        <f>SUM(K5:K14)</f>
        <v>83842</v>
      </c>
      <c r="L16" s="136"/>
      <c r="M16" s="170"/>
      <c r="N16" s="169"/>
      <c r="O16" s="169"/>
      <c r="P16" s="169"/>
      <c r="Q16" s="169"/>
      <c r="R16" s="200"/>
      <c r="S16" s="169"/>
      <c r="T16" s="169"/>
      <c r="U16" s="169"/>
      <c r="V16" s="169"/>
    </row>
    <row r="17" spans="1:22" s="108" customFormat="1" ht="12.75">
      <c r="A17" s="60"/>
      <c r="B17" s="60" t="s">
        <v>16</v>
      </c>
      <c r="C17" s="60" t="s">
        <v>16</v>
      </c>
      <c r="D17" s="60" t="s">
        <v>95</v>
      </c>
      <c r="E17" s="60" t="s">
        <v>183</v>
      </c>
      <c r="F17" s="136" t="s">
        <v>16</v>
      </c>
      <c r="G17" s="60" t="s">
        <v>183</v>
      </c>
      <c r="H17" s="136" t="s">
        <v>17</v>
      </c>
      <c r="I17" s="136" t="s">
        <v>16</v>
      </c>
      <c r="J17" s="136" t="s">
        <v>16</v>
      </c>
      <c r="K17" s="136" t="s">
        <v>16</v>
      </c>
      <c r="L17" s="172"/>
      <c r="M17" s="170"/>
      <c r="N17" s="169"/>
      <c r="O17" s="169"/>
      <c r="P17" s="169"/>
      <c r="Q17" s="169"/>
      <c r="R17" s="200"/>
      <c r="S17" s="169"/>
      <c r="T17" s="169"/>
      <c r="U17" s="169"/>
      <c r="V17" s="169"/>
    </row>
    <row r="18" spans="1:22" s="108" customFormat="1" ht="12.75">
      <c r="A18" s="60" t="s">
        <v>656</v>
      </c>
      <c r="B18" s="169">
        <f>643+220-49</f>
        <v>814</v>
      </c>
      <c r="C18" s="169">
        <f>211-85</f>
        <v>126</v>
      </c>
      <c r="D18" s="203">
        <f>C18/B18</f>
        <v>0.1547911547911548</v>
      </c>
      <c r="E18" s="162">
        <f>B18-C18</f>
        <v>688</v>
      </c>
      <c r="F18" s="169">
        <v>62</v>
      </c>
      <c r="G18" s="169">
        <v>16</v>
      </c>
      <c r="H18" s="169">
        <f>35+2</f>
        <v>37</v>
      </c>
      <c r="I18" s="169">
        <v>10</v>
      </c>
      <c r="J18" s="123">
        <f>H18-I18</f>
        <v>27</v>
      </c>
      <c r="K18" s="169">
        <f>C18+F18+G18+I18</f>
        <v>214</v>
      </c>
      <c r="L18" s="172"/>
      <c r="M18" s="170"/>
      <c r="N18" s="169"/>
      <c r="O18" s="169"/>
      <c r="P18" s="169"/>
      <c r="Q18" s="169"/>
      <c r="R18" s="200"/>
      <c r="S18" s="169"/>
      <c r="T18" s="169"/>
      <c r="U18" s="169"/>
      <c r="V18" s="169"/>
    </row>
    <row r="19" spans="1:21" s="108" customFormat="1" ht="12.75">
      <c r="A19" s="60" t="s">
        <v>97</v>
      </c>
      <c r="B19" s="169">
        <f>787-47-220</f>
        <v>520</v>
      </c>
      <c r="C19" s="169">
        <f>212-84</f>
        <v>128</v>
      </c>
      <c r="D19" s="203">
        <f>C19/B19</f>
        <v>0.24615384615384617</v>
      </c>
      <c r="E19" s="162">
        <f>B19-C19</f>
        <v>392</v>
      </c>
      <c r="F19" s="169">
        <v>30</v>
      </c>
      <c r="G19" s="169">
        <v>11</v>
      </c>
      <c r="H19" s="169">
        <f>658-29</f>
        <v>629</v>
      </c>
      <c r="I19" s="169">
        <v>7</v>
      </c>
      <c r="J19" s="169">
        <f>H19-I19</f>
        <v>622</v>
      </c>
      <c r="K19" s="169">
        <f>C19+F19+G19+I19</f>
        <v>176</v>
      </c>
      <c r="L19" s="172"/>
      <c r="M19" s="172"/>
      <c r="N19" s="173"/>
      <c r="O19" s="172"/>
      <c r="P19" s="172"/>
      <c r="Q19" s="172"/>
      <c r="R19" s="172"/>
      <c r="S19" s="172"/>
      <c r="T19" s="172"/>
      <c r="U19" s="170"/>
    </row>
    <row r="20" spans="1:21" s="108" customFormat="1" ht="12.75">
      <c r="A20" s="60"/>
      <c r="B20" s="60" t="s">
        <v>16</v>
      </c>
      <c r="C20" s="60" t="s">
        <v>16</v>
      </c>
      <c r="D20" s="60" t="s">
        <v>95</v>
      </c>
      <c r="E20" s="60" t="s">
        <v>183</v>
      </c>
      <c r="F20" s="136" t="s">
        <v>16</v>
      </c>
      <c r="G20" s="60" t="s">
        <v>183</v>
      </c>
      <c r="H20" s="136" t="s">
        <v>17</v>
      </c>
      <c r="I20" s="136" t="s">
        <v>16</v>
      </c>
      <c r="J20" s="136" t="s">
        <v>16</v>
      </c>
      <c r="K20" s="136" t="s">
        <v>16</v>
      </c>
      <c r="L20" s="172"/>
      <c r="M20" s="172"/>
      <c r="N20" s="173"/>
      <c r="O20" s="172"/>
      <c r="P20" s="172"/>
      <c r="Q20" s="172"/>
      <c r="R20" s="172"/>
      <c r="S20" s="172"/>
      <c r="T20" s="172"/>
      <c r="U20" s="170"/>
    </row>
    <row r="21" spans="1:21" s="108" customFormat="1" ht="12.75">
      <c r="A21" s="60" t="s">
        <v>646</v>
      </c>
      <c r="B21" s="169">
        <f>B18+B19</f>
        <v>1334</v>
      </c>
      <c r="C21" s="169">
        <f>C18+C19</f>
        <v>254</v>
      </c>
      <c r="D21" s="203">
        <f>C21/B21</f>
        <v>0.1904047976011994</v>
      </c>
      <c r="E21" s="162">
        <f>B21-C21</f>
        <v>1080</v>
      </c>
      <c r="F21" s="169">
        <f aca="true" t="shared" si="5" ref="F21:K21">F18+F19</f>
        <v>92</v>
      </c>
      <c r="G21" s="169">
        <f t="shared" si="5"/>
        <v>27</v>
      </c>
      <c r="H21" s="169">
        <f t="shared" si="5"/>
        <v>666</v>
      </c>
      <c r="I21" s="169">
        <f t="shared" si="5"/>
        <v>17</v>
      </c>
      <c r="J21" s="169">
        <f t="shared" si="5"/>
        <v>649</v>
      </c>
      <c r="K21" s="162">
        <f t="shared" si="5"/>
        <v>390</v>
      </c>
      <c r="L21" s="169"/>
      <c r="M21" s="172"/>
      <c r="N21" s="173"/>
      <c r="O21" s="172"/>
      <c r="P21" s="172"/>
      <c r="Q21" s="172"/>
      <c r="R21" s="172"/>
      <c r="S21" s="172"/>
      <c r="T21" s="172"/>
      <c r="U21" s="170"/>
    </row>
    <row r="22" spans="1:12" s="108" customFormat="1" ht="12.75">
      <c r="A22" s="60"/>
      <c r="B22" s="169"/>
      <c r="C22" s="169"/>
      <c r="D22" s="128"/>
      <c r="E22" s="169"/>
      <c r="F22" s="169"/>
      <c r="G22" s="169"/>
      <c r="H22" s="169"/>
      <c r="I22" s="169"/>
      <c r="J22" s="169"/>
      <c r="K22" s="169"/>
      <c r="L22" s="172"/>
    </row>
    <row r="23" spans="1:12" s="108" customFormat="1" ht="12.75">
      <c r="A23" s="60"/>
      <c r="B23" s="136" t="s">
        <v>98</v>
      </c>
      <c r="C23" s="136" t="s">
        <v>98</v>
      </c>
      <c r="D23" s="60" t="s">
        <v>185</v>
      </c>
      <c r="E23" s="136" t="s">
        <v>184</v>
      </c>
      <c r="F23" s="136" t="s">
        <v>98</v>
      </c>
      <c r="G23" s="136" t="s">
        <v>184</v>
      </c>
      <c r="H23" s="136" t="s">
        <v>99</v>
      </c>
      <c r="I23" s="136" t="s">
        <v>98</v>
      </c>
      <c r="J23" s="136" t="s">
        <v>98</v>
      </c>
      <c r="K23" s="136" t="s">
        <v>98</v>
      </c>
      <c r="L23" s="172"/>
    </row>
    <row r="24" spans="1:12" s="108" customFormat="1" ht="12.75">
      <c r="A24" s="60" t="s">
        <v>316</v>
      </c>
      <c r="B24" s="136">
        <f>B16+B18+B19</f>
        <v>87524</v>
      </c>
      <c r="C24" s="136">
        <f>C16+C18+C19</f>
        <v>74593</v>
      </c>
      <c r="D24" s="203">
        <f>C24/B24</f>
        <v>0.8522576664686258</v>
      </c>
      <c r="E24" s="136">
        <f aca="true" t="shared" si="6" ref="E24:J24">E16+E18+E19</f>
        <v>12931</v>
      </c>
      <c r="F24" s="136">
        <f t="shared" si="6"/>
        <v>6368</v>
      </c>
      <c r="G24" s="136">
        <f>G16+G18+G19</f>
        <v>1649</v>
      </c>
      <c r="H24" s="136">
        <f t="shared" si="6"/>
        <v>4978</v>
      </c>
      <c r="I24" s="136">
        <f t="shared" si="6"/>
        <v>1622</v>
      </c>
      <c r="J24" s="136">
        <f t="shared" si="6"/>
        <v>3356</v>
      </c>
      <c r="K24" s="136">
        <f>K16+K18+K19</f>
        <v>84232</v>
      </c>
      <c r="L24" s="136"/>
    </row>
    <row r="25" spans="1:23" s="108" customFormat="1" ht="12.75">
      <c r="A25" s="60" t="s">
        <v>34</v>
      </c>
      <c r="B25" s="136"/>
      <c r="C25" s="136"/>
      <c r="D25" s="60"/>
      <c r="E25" s="136"/>
      <c r="F25" s="136"/>
      <c r="G25" s="136"/>
      <c r="H25" s="136"/>
      <c r="I25" s="136"/>
      <c r="J25" s="136"/>
      <c r="K25" s="167"/>
      <c r="L25" s="172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</row>
    <row r="26" spans="1:23" s="108" customFormat="1" ht="12.75">
      <c r="A26" s="168" t="s">
        <v>508</v>
      </c>
      <c r="B26" s="123"/>
      <c r="C26" s="123">
        <v>33</v>
      </c>
      <c r="D26" s="203"/>
      <c r="E26" s="162"/>
      <c r="F26" s="123">
        <v>1</v>
      </c>
      <c r="G26" s="123">
        <v>174</v>
      </c>
      <c r="H26" s="123">
        <v>5</v>
      </c>
      <c r="I26" s="123">
        <v>3</v>
      </c>
      <c r="J26" s="123">
        <f>H26-I26</f>
        <v>2</v>
      </c>
      <c r="K26" s="169">
        <f>C26+F26+G26+I26</f>
        <v>211</v>
      </c>
      <c r="L26" s="172"/>
      <c r="M26" s="170"/>
      <c r="N26" s="169"/>
      <c r="O26" s="169"/>
      <c r="P26" s="169"/>
      <c r="Q26" s="221"/>
      <c r="R26" s="169"/>
      <c r="S26" s="169"/>
      <c r="T26" s="169"/>
      <c r="U26" s="169"/>
      <c r="V26" s="169"/>
      <c r="W26" s="170"/>
    </row>
    <row r="27" spans="2:22" s="170" customFormat="1" ht="12.75">
      <c r="B27" s="136"/>
      <c r="C27" s="136"/>
      <c r="D27" s="60"/>
      <c r="E27" s="60"/>
      <c r="F27" s="136"/>
      <c r="G27" s="136"/>
      <c r="H27" s="136"/>
      <c r="I27" s="136"/>
      <c r="J27" s="136"/>
      <c r="L27" s="172"/>
      <c r="N27" s="169"/>
      <c r="O27" s="169"/>
      <c r="P27" s="169"/>
      <c r="Q27" s="221"/>
      <c r="R27" s="169"/>
      <c r="S27" s="169"/>
      <c r="T27" s="169"/>
      <c r="U27" s="169"/>
      <c r="V27" s="169"/>
    </row>
    <row r="28" spans="1:23" s="108" customFormat="1" ht="12.75">
      <c r="A28" s="60" t="s">
        <v>100</v>
      </c>
      <c r="B28" s="124">
        <f>SUM(B16+B18+B19+B26)</f>
        <v>87524</v>
      </c>
      <c r="C28" s="124">
        <f>SUM(C16+C18+C19)+C26</f>
        <v>74626</v>
      </c>
      <c r="D28" s="133">
        <f>C28/B28</f>
        <v>0.8526347059092363</v>
      </c>
      <c r="E28" s="124">
        <f>SUM(E16+E18+E19+E26)</f>
        <v>12931</v>
      </c>
      <c r="F28" s="124">
        <f>SUM(F16+F18+F19)+F26</f>
        <v>6369</v>
      </c>
      <c r="G28" s="124">
        <f>SUM(G16+G18+G19)+G26</f>
        <v>1823</v>
      </c>
      <c r="H28" s="124">
        <f>SUM(H16+H18+H19)+H26</f>
        <v>4983</v>
      </c>
      <c r="I28" s="124">
        <f>SUM(I16+I18+I19)+I26</f>
        <v>1625</v>
      </c>
      <c r="J28" s="124">
        <f>SUM(J16+J18+J19+J26)</f>
        <v>3358</v>
      </c>
      <c r="K28" s="124">
        <f>K24+K26</f>
        <v>84443</v>
      </c>
      <c r="L28" s="172"/>
      <c r="M28" s="170"/>
      <c r="N28" s="169"/>
      <c r="O28" s="169"/>
      <c r="P28" s="169"/>
      <c r="Q28" s="221"/>
      <c r="R28" s="169"/>
      <c r="S28" s="169"/>
      <c r="T28" s="169"/>
      <c r="U28" s="169"/>
      <c r="V28" s="169"/>
      <c r="W28" s="170"/>
    </row>
    <row r="29" spans="2:23" s="146" customFormat="1" ht="15">
      <c r="B29" s="197"/>
      <c r="C29" s="197"/>
      <c r="D29" s="197"/>
      <c r="E29" s="197"/>
      <c r="F29" s="197"/>
      <c r="G29" s="197"/>
      <c r="H29" s="197"/>
      <c r="I29" s="197"/>
      <c r="J29" s="197"/>
      <c r="K29" s="66"/>
      <c r="L29" s="121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</row>
    <row r="30" spans="2:11" ht="12.75">
      <c r="B30" s="123"/>
      <c r="C30" s="123"/>
      <c r="D30" s="128"/>
      <c r="E30" s="123"/>
      <c r="F30" s="169"/>
      <c r="G30" s="123"/>
      <c r="H30" s="123"/>
      <c r="I30" s="123"/>
      <c r="J30" s="123"/>
      <c r="K30" s="136"/>
    </row>
    <row r="31" spans="1:12" ht="12.75">
      <c r="A31" s="108" t="s">
        <v>310</v>
      </c>
      <c r="F31" s="145"/>
      <c r="I31" s="66"/>
      <c r="K31" s="82"/>
      <c r="L31" s="66"/>
    </row>
    <row r="32" spans="2:12" ht="12.75">
      <c r="B32" s="53"/>
      <c r="C32" s="92" t="s">
        <v>622</v>
      </c>
      <c r="D32" s="144"/>
      <c r="E32" s="66"/>
      <c r="G32" s="66"/>
      <c r="I32" s="169"/>
      <c r="L32" s="26"/>
    </row>
    <row r="33" spans="2:12" ht="12.75">
      <c r="B33" s="53"/>
      <c r="C33" s="92"/>
      <c r="D33" s="144"/>
      <c r="E33" s="66"/>
      <c r="I33" s="169"/>
      <c r="L33" s="26"/>
    </row>
    <row r="34" spans="1:9" ht="12.75">
      <c r="A34" s="91" t="s">
        <v>18</v>
      </c>
      <c r="B34" s="53"/>
      <c r="C34" s="136">
        <f>B28</f>
        <v>87524</v>
      </c>
      <c r="D34" s="185"/>
      <c r="E34" s="66"/>
      <c r="F34" s="66"/>
      <c r="H34" s="66"/>
      <c r="I34" s="169"/>
    </row>
    <row r="35" spans="1:7" ht="12.75">
      <c r="A35" s="75" t="s">
        <v>623</v>
      </c>
      <c r="B35" s="79"/>
      <c r="C35" s="195">
        <f>K28-SUM(C39:C40)-C36</f>
        <v>74626</v>
      </c>
      <c r="F35" s="66"/>
      <c r="G35" s="66" t="s">
        <v>34</v>
      </c>
    </row>
    <row r="36" spans="1:6" ht="12.75">
      <c r="A36" s="93" t="s">
        <v>19</v>
      </c>
      <c r="B36" s="53"/>
      <c r="C36" s="136">
        <f>G28</f>
        <v>1823</v>
      </c>
      <c r="F36" s="66"/>
    </row>
    <row r="37" spans="1:11" ht="12.75">
      <c r="A37" s="93" t="s">
        <v>20</v>
      </c>
      <c r="B37" s="53"/>
      <c r="C37" s="135">
        <f>D28</f>
        <v>0.8526347059092363</v>
      </c>
      <c r="D37" s="102"/>
      <c r="E37" s="102"/>
      <c r="F37" s="102"/>
      <c r="G37" s="199"/>
      <c r="H37" s="199"/>
      <c r="I37" s="102"/>
      <c r="J37" s="102"/>
      <c r="K37" s="102" t="s">
        <v>34</v>
      </c>
    </row>
    <row r="38" spans="1:11" ht="12.75">
      <c r="A38" s="53"/>
      <c r="B38" s="53"/>
      <c r="C38" s="76"/>
      <c r="D38" s="72"/>
      <c r="E38" s="72"/>
      <c r="F38" s="72"/>
      <c r="G38" s="198"/>
      <c r="H38" s="72"/>
      <c r="I38" s="72"/>
      <c r="J38" s="72"/>
      <c r="K38" s="72"/>
    </row>
    <row r="39" spans="1:11" ht="12.75">
      <c r="A39" s="53" t="s">
        <v>22</v>
      </c>
      <c r="B39" s="53"/>
      <c r="C39" s="136">
        <f>F28</f>
        <v>6369</v>
      </c>
      <c r="D39" s="53"/>
      <c r="E39" s="53"/>
      <c r="F39" s="53"/>
      <c r="G39" s="53"/>
      <c r="H39" s="53"/>
      <c r="I39" s="53"/>
      <c r="J39" s="53"/>
      <c r="K39" s="53"/>
    </row>
    <row r="40" spans="1:13" ht="15">
      <c r="A40" s="53" t="s">
        <v>23</v>
      </c>
      <c r="B40" s="53"/>
      <c r="C40" s="136">
        <f>I28</f>
        <v>1625</v>
      </c>
      <c r="D40" s="120"/>
      <c r="E40" s="120"/>
      <c r="F40" s="120"/>
      <c r="G40" s="197"/>
      <c r="H40" s="120"/>
      <c r="I40" s="197"/>
      <c r="J40" s="123"/>
      <c r="K40" s="130"/>
      <c r="M40" s="197"/>
    </row>
    <row r="41" spans="1:11" ht="12.75">
      <c r="A41" s="53"/>
      <c r="B41" s="53"/>
      <c r="C41" s="79"/>
      <c r="D41" s="128"/>
      <c r="E41" s="169"/>
      <c r="F41" s="169"/>
      <c r="G41" s="169"/>
      <c r="H41" s="169"/>
      <c r="I41" s="169"/>
      <c r="J41" s="169"/>
      <c r="K41" s="162"/>
    </row>
    <row r="42" spans="1:11" ht="12.75">
      <c r="A42" s="193" t="s">
        <v>122</v>
      </c>
      <c r="B42" s="53"/>
      <c r="C42" s="136">
        <f>C35+C36+C39+C40</f>
        <v>84443</v>
      </c>
      <c r="D42" s="128"/>
      <c r="E42" s="169"/>
      <c r="F42" s="169"/>
      <c r="G42" s="169"/>
      <c r="H42" s="169"/>
      <c r="I42" s="169"/>
      <c r="J42" s="169"/>
      <c r="K42" s="162"/>
    </row>
    <row r="43" spans="1:11" ht="12.75">
      <c r="A43" s="91"/>
      <c r="B43" s="53"/>
      <c r="C43" s="136"/>
      <c r="D43" s="128"/>
      <c r="E43" s="169"/>
      <c r="F43" s="169"/>
      <c r="G43" s="169"/>
      <c r="H43" s="169"/>
      <c r="I43" s="169"/>
      <c r="J43" s="169"/>
      <c r="K43" s="162"/>
    </row>
    <row r="44" spans="1:11" ht="12.75">
      <c r="A44" s="75"/>
      <c r="B44" s="79"/>
      <c r="C44" s="78"/>
      <c r="D44" s="128"/>
      <c r="E44" s="169"/>
      <c r="F44" s="169"/>
      <c r="G44" s="169"/>
      <c r="H44" s="169"/>
      <c r="I44" s="169"/>
      <c r="J44" s="169"/>
      <c r="K44" s="162"/>
    </row>
    <row r="45" spans="1:11" ht="12.7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</row>
    <row r="46" spans="1:11" ht="12.75">
      <c r="A46" s="165"/>
      <c r="B46" s="162"/>
      <c r="C46" s="162"/>
      <c r="D46" s="162"/>
      <c r="E46" s="206"/>
      <c r="F46" s="162"/>
      <c r="G46" s="162"/>
      <c r="H46" s="162"/>
      <c r="I46" s="162"/>
      <c r="J46" s="162"/>
      <c r="K46" s="165"/>
    </row>
    <row r="58" s="67" customFormat="1" ht="12"/>
    <row r="59" s="68" customFormat="1" ht="54" customHeight="1"/>
    <row r="62" s="108" customFormat="1" ht="12.75"/>
    <row r="63" s="108" customFormat="1" ht="12.75"/>
    <row r="64" s="108" customFormat="1" ht="12.75"/>
    <row r="65" spans="1:9" s="108" customFormat="1" ht="12.75">
      <c r="A65" s="166"/>
      <c r="B65" s="173"/>
      <c r="C65" s="172"/>
      <c r="D65" s="172"/>
      <c r="E65" s="172"/>
      <c r="F65" s="172"/>
      <c r="G65" s="172"/>
      <c r="H65" s="172"/>
      <c r="I65" s="170"/>
    </row>
    <row r="66" spans="1:9" s="108" customFormat="1" ht="12.75">
      <c r="A66" s="166"/>
      <c r="B66" s="173"/>
      <c r="C66" s="172"/>
      <c r="D66" s="172"/>
      <c r="E66" s="172"/>
      <c r="F66" s="172"/>
      <c r="G66" s="172"/>
      <c r="H66" s="172"/>
      <c r="I66" s="170"/>
    </row>
    <row r="67" spans="1:9" s="108" customFormat="1" ht="12.75">
      <c r="A67" s="166"/>
      <c r="B67" s="173"/>
      <c r="C67" s="172"/>
      <c r="D67" s="172"/>
      <c r="E67" s="172"/>
      <c r="F67" s="172"/>
      <c r="G67" s="172"/>
      <c r="H67" s="172"/>
      <c r="I67" s="170"/>
    </row>
    <row r="68" spans="1:9" s="108" customFormat="1" ht="12.75">
      <c r="A68" s="166"/>
      <c r="B68" s="173"/>
      <c r="C68" s="172"/>
      <c r="D68" s="172"/>
      <c r="E68" s="172"/>
      <c r="F68" s="172"/>
      <c r="G68" s="172"/>
      <c r="H68" s="172"/>
      <c r="I68" s="170"/>
    </row>
    <row r="69" spans="1:9" s="108" customFormat="1" ht="12.75">
      <c r="A69" s="172"/>
      <c r="B69" s="173"/>
      <c r="C69" s="172"/>
      <c r="D69" s="172"/>
      <c r="E69" s="172"/>
      <c r="F69" s="172"/>
      <c r="G69" s="172"/>
      <c r="H69" s="172"/>
      <c r="I69" s="170"/>
    </row>
    <row r="70" spans="1:9" s="108" customFormat="1" ht="12.75">
      <c r="A70" s="166"/>
      <c r="B70" s="173"/>
      <c r="C70" s="172"/>
      <c r="D70" s="172"/>
      <c r="E70" s="172"/>
      <c r="F70" s="172"/>
      <c r="G70" s="172"/>
      <c r="H70" s="172"/>
      <c r="I70" s="170"/>
    </row>
    <row r="71" spans="1:9" s="108" customFormat="1" ht="12.75">
      <c r="A71" s="166"/>
      <c r="B71" s="173"/>
      <c r="C71" s="172"/>
      <c r="D71" s="172"/>
      <c r="E71" s="172"/>
      <c r="F71" s="172"/>
      <c r="G71" s="172"/>
      <c r="H71" s="172"/>
      <c r="I71" s="170"/>
    </row>
    <row r="72" spans="1:9" s="108" customFormat="1" ht="12.75">
      <c r="A72" s="166"/>
      <c r="B72" s="173"/>
      <c r="C72" s="172"/>
      <c r="D72" s="172"/>
      <c r="E72" s="172"/>
      <c r="F72" s="172"/>
      <c r="G72" s="172"/>
      <c r="H72" s="172"/>
      <c r="I72" s="170"/>
    </row>
    <row r="73" spans="1:9" s="108" customFormat="1" ht="12.75">
      <c r="A73" s="162"/>
      <c r="B73" s="173"/>
      <c r="C73" s="172"/>
      <c r="D73" s="172"/>
      <c r="E73" s="172"/>
      <c r="F73" s="172"/>
      <c r="G73" s="172"/>
      <c r="H73" s="172"/>
      <c r="I73" s="170"/>
    </row>
    <row r="74" spans="1:9" s="108" customFormat="1" ht="12.75">
      <c r="A74" s="162"/>
      <c r="B74" s="200"/>
      <c r="C74" s="169"/>
      <c r="D74" s="169"/>
      <c r="E74" s="169"/>
      <c r="F74" s="169"/>
      <c r="G74" s="169"/>
      <c r="H74" s="169"/>
      <c r="I74" s="170"/>
    </row>
    <row r="75" spans="2:9" s="108" customFormat="1" ht="12.75">
      <c r="B75" s="200"/>
      <c r="C75" s="169"/>
      <c r="D75" s="169"/>
      <c r="E75" s="169"/>
      <c r="F75" s="169"/>
      <c r="G75" s="169"/>
      <c r="H75" s="169"/>
      <c r="I75" s="170"/>
    </row>
    <row r="76" s="108" customFormat="1" ht="12.75"/>
    <row r="77" s="108" customFormat="1" ht="12.75"/>
    <row r="78" s="108" customFormat="1" ht="12.75"/>
    <row r="79" s="108" customFormat="1" ht="12.75">
      <c r="A79" s="170"/>
    </row>
    <row r="80" s="170" customFormat="1" ht="12.75">
      <c r="A80" s="108"/>
    </row>
    <row r="81" s="108" customFormat="1" ht="12.75">
      <c r="A81" s="119"/>
    </row>
    <row r="82" s="146" customFormat="1" ht="12.75">
      <c r="A82" s="144"/>
    </row>
    <row r="83" ht="12">
      <c r="A83" s="144"/>
    </row>
    <row r="84" ht="12">
      <c r="A84" s="144"/>
    </row>
    <row r="85" ht="12">
      <c r="A85" s="144"/>
    </row>
    <row r="86" ht="12">
      <c r="A86" s="144"/>
    </row>
    <row r="87" ht="12">
      <c r="A87" s="144"/>
    </row>
    <row r="88" ht="12">
      <c r="A88" s="144"/>
    </row>
    <row r="89" ht="12">
      <c r="A89" s="144"/>
    </row>
    <row r="90" ht="12">
      <c r="A90" s="144"/>
    </row>
    <row r="91" ht="12">
      <c r="A91" s="144"/>
    </row>
    <row r="92" ht="12">
      <c r="A92" s="144"/>
    </row>
    <row r="93" ht="12">
      <c r="A93" s="144"/>
    </row>
    <row r="94" ht="12">
      <c r="A94" s="144"/>
    </row>
    <row r="95" ht="12">
      <c r="A95" s="144"/>
    </row>
  </sheetData>
  <printOptions gridLines="1" horizontalCentered="1"/>
  <pageMargins left="0.25" right="0.26" top="0.65" bottom="0.32" header="0.38" footer="0.16"/>
  <pageSetup horizontalDpi="300" verticalDpi="300" orientation="portrait" scale="73" r:id="rId1"/>
  <headerFooter alignWithMargins="0">
    <oddHeader>&amp;C&amp;12Month Ending June 30, 2010
</oddHeader>
    <oddFooter>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81"/>
  <sheetViews>
    <sheetView zoomScale="75" zoomScaleNormal="75" workbookViewId="0" topLeftCell="A13">
      <selection activeCell="C78" sqref="C78"/>
    </sheetView>
  </sheetViews>
  <sheetFormatPr defaultColWidth="9.140625" defaultRowHeight="12.75"/>
  <cols>
    <col min="1" max="1" width="29.140625" style="8" customWidth="1"/>
    <col min="2" max="2" width="7.00390625" style="8" customWidth="1"/>
    <col min="3" max="3" width="6.57421875" style="8" customWidth="1"/>
    <col min="4" max="4" width="6.421875" style="8" customWidth="1"/>
    <col min="5" max="6" width="5.8515625" style="8" customWidth="1"/>
    <col min="7" max="7" width="5.421875" style="8" customWidth="1"/>
    <col min="8" max="8" width="5.7109375" style="8" customWidth="1"/>
    <col min="9" max="9" width="10.140625" style="8" customWidth="1"/>
    <col min="10" max="10" width="9.421875" style="8" customWidth="1"/>
    <col min="11" max="11" width="9.140625" style="8" customWidth="1"/>
    <col min="12" max="12" width="9.8515625" style="8" customWidth="1"/>
    <col min="13" max="13" width="6.8515625" style="8" customWidth="1"/>
    <col min="14" max="14" width="8.57421875" style="8" customWidth="1"/>
    <col min="15" max="16384" width="9.140625" style="8" customWidth="1"/>
  </cols>
  <sheetData>
    <row r="1" spans="2:14" s="2" customFormat="1" ht="11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</row>
    <row r="2" spans="1:14" s="2" customFormat="1" ht="42" customHeight="1">
      <c r="A2" s="18" t="s">
        <v>102</v>
      </c>
      <c r="B2" s="1" t="s">
        <v>6</v>
      </c>
      <c r="C2" s="2" t="s">
        <v>7</v>
      </c>
      <c r="D2" s="3" t="s">
        <v>8</v>
      </c>
      <c r="E2" s="3" t="s">
        <v>103</v>
      </c>
      <c r="F2" s="7" t="s">
        <v>104</v>
      </c>
      <c r="G2" s="1" t="s">
        <v>9</v>
      </c>
      <c r="H2" s="1" t="s">
        <v>10</v>
      </c>
      <c r="I2" s="1" t="s">
        <v>11</v>
      </c>
      <c r="J2" s="1" t="s">
        <v>12</v>
      </c>
      <c r="K2" s="7" t="s">
        <v>105</v>
      </c>
      <c r="L2" s="2" t="s">
        <v>13</v>
      </c>
      <c r="M2" s="3" t="s">
        <v>106</v>
      </c>
      <c r="N2" s="3" t="s">
        <v>14</v>
      </c>
    </row>
    <row r="3" ht="5.25" customHeight="1"/>
    <row r="4" ht="11.25">
      <c r="A4" s="11" t="s">
        <v>35</v>
      </c>
    </row>
    <row r="5" ht="11.25">
      <c r="A5" s="8" t="s">
        <v>29</v>
      </c>
    </row>
    <row r="6" ht="6.75" customHeight="1">
      <c r="A6" s="20" t="s">
        <v>107</v>
      </c>
    </row>
    <row r="7" spans="1:14" ht="12.75">
      <c r="A7" t="s">
        <v>36</v>
      </c>
      <c r="B7">
        <v>35.7</v>
      </c>
      <c r="C7">
        <v>14</v>
      </c>
      <c r="D7">
        <v>2</v>
      </c>
      <c r="E7">
        <v>3</v>
      </c>
      <c r="F7">
        <v>19</v>
      </c>
      <c r="G7">
        <v>4</v>
      </c>
      <c r="J7">
        <v>64</v>
      </c>
      <c r="K7">
        <v>82</v>
      </c>
      <c r="L7">
        <v>20</v>
      </c>
      <c r="M7">
        <v>24.4</v>
      </c>
      <c r="N7">
        <v>93</v>
      </c>
    </row>
    <row r="8" spans="1:14" ht="12.75">
      <c r="A8" t="s">
        <v>37</v>
      </c>
      <c r="B8">
        <v>66.7</v>
      </c>
      <c r="C8">
        <v>9</v>
      </c>
      <c r="D8">
        <v>4</v>
      </c>
      <c r="E8">
        <v>2</v>
      </c>
      <c r="F8">
        <v>31</v>
      </c>
      <c r="G8">
        <v>2</v>
      </c>
      <c r="J8">
        <v>49</v>
      </c>
      <c r="K8">
        <v>54</v>
      </c>
      <c r="L8">
        <v>7</v>
      </c>
      <c r="M8">
        <v>13</v>
      </c>
      <c r="N8">
        <v>64</v>
      </c>
    </row>
    <row r="9" spans="1:14" ht="12.75">
      <c r="A9" t="s">
        <v>38</v>
      </c>
      <c r="B9">
        <v>0</v>
      </c>
      <c r="C9">
        <v>3</v>
      </c>
      <c r="F9">
        <v>3</v>
      </c>
      <c r="J9">
        <v>9</v>
      </c>
      <c r="K9">
        <v>15</v>
      </c>
      <c r="L9">
        <v>7</v>
      </c>
      <c r="M9">
        <v>46.7</v>
      </c>
      <c r="N9">
        <v>16</v>
      </c>
    </row>
    <row r="10" spans="1:14" ht="12.75">
      <c r="A10" t="s">
        <v>108</v>
      </c>
      <c r="B10">
        <v>25</v>
      </c>
      <c r="C10">
        <v>8</v>
      </c>
      <c r="D10">
        <v>1</v>
      </c>
      <c r="E10">
        <v>1</v>
      </c>
      <c r="J10">
        <v>40</v>
      </c>
      <c r="K10">
        <v>47</v>
      </c>
      <c r="L10">
        <v>6</v>
      </c>
      <c r="M10">
        <v>12.8</v>
      </c>
      <c r="N10">
        <v>48</v>
      </c>
    </row>
    <row r="11" spans="1:14" ht="12.75">
      <c r="A11" t="s">
        <v>109</v>
      </c>
      <c r="B11">
        <v>12.9</v>
      </c>
      <c r="C11">
        <v>31</v>
      </c>
      <c r="D11">
        <v>4</v>
      </c>
      <c r="J11">
        <v>110</v>
      </c>
      <c r="K11">
        <v>182</v>
      </c>
      <c r="L11">
        <v>74</v>
      </c>
      <c r="M11">
        <v>40.7</v>
      </c>
      <c r="N11">
        <v>188</v>
      </c>
    </row>
    <row r="12" spans="1:14" ht="12.75">
      <c r="A12" t="s">
        <v>39</v>
      </c>
      <c r="B12">
        <v>7.7</v>
      </c>
      <c r="C12">
        <v>13</v>
      </c>
      <c r="E12">
        <v>1</v>
      </c>
      <c r="J12">
        <v>61</v>
      </c>
      <c r="K12">
        <v>78</v>
      </c>
      <c r="L12">
        <v>19</v>
      </c>
      <c r="M12">
        <v>24.4</v>
      </c>
      <c r="N12">
        <v>81</v>
      </c>
    </row>
    <row r="13" spans="1:14" ht="12.75">
      <c r="A13" s="24" t="s">
        <v>40</v>
      </c>
      <c r="B13">
        <v>12.2</v>
      </c>
      <c r="C13">
        <v>49</v>
      </c>
      <c r="D13">
        <v>6</v>
      </c>
      <c r="F13">
        <v>7</v>
      </c>
      <c r="J13">
        <v>153</v>
      </c>
      <c r="K13">
        <v>292</v>
      </c>
      <c r="L13">
        <v>138</v>
      </c>
      <c r="M13">
        <v>47.3</v>
      </c>
      <c r="N13">
        <v>297</v>
      </c>
    </row>
    <row r="14" spans="1:14" ht="12.75">
      <c r="A14" s="24" t="s">
        <v>41</v>
      </c>
      <c r="B14">
        <v>18.3</v>
      </c>
      <c r="C14">
        <v>60</v>
      </c>
      <c r="D14">
        <v>8</v>
      </c>
      <c r="E14">
        <v>3</v>
      </c>
      <c r="F14">
        <v>81</v>
      </c>
      <c r="J14">
        <v>284</v>
      </c>
      <c r="K14">
        <v>360</v>
      </c>
      <c r="L14">
        <v>77</v>
      </c>
      <c r="M14">
        <v>21.4</v>
      </c>
      <c r="N14">
        <v>372</v>
      </c>
    </row>
    <row r="15" spans="1:14" ht="12.75">
      <c r="A15" t="s">
        <v>42</v>
      </c>
      <c r="B15">
        <v>20</v>
      </c>
      <c r="C15">
        <v>10</v>
      </c>
      <c r="D15">
        <v>1</v>
      </c>
      <c r="E15">
        <v>1</v>
      </c>
      <c r="F15">
        <v>1</v>
      </c>
      <c r="J15">
        <v>44</v>
      </c>
      <c r="K15">
        <v>59</v>
      </c>
      <c r="L15">
        <v>15</v>
      </c>
      <c r="M15">
        <v>25.4</v>
      </c>
      <c r="N15">
        <v>61</v>
      </c>
    </row>
    <row r="16" spans="1:14" ht="12.75">
      <c r="A16" t="s">
        <v>43</v>
      </c>
      <c r="B16">
        <v>20</v>
      </c>
      <c r="C16">
        <v>20</v>
      </c>
      <c r="D16">
        <v>2</v>
      </c>
      <c r="E16">
        <v>2</v>
      </c>
      <c r="F16">
        <v>4</v>
      </c>
      <c r="H16">
        <v>1</v>
      </c>
      <c r="J16">
        <v>76</v>
      </c>
      <c r="K16">
        <v>120</v>
      </c>
      <c r="L16">
        <v>45</v>
      </c>
      <c r="M16">
        <v>37.5</v>
      </c>
      <c r="N16">
        <v>125</v>
      </c>
    </row>
    <row r="17" spans="1:14" ht="12.75">
      <c r="A17" t="s">
        <v>44</v>
      </c>
      <c r="B17">
        <v>30.8</v>
      </c>
      <c r="C17">
        <v>120</v>
      </c>
      <c r="D17">
        <v>36</v>
      </c>
      <c r="E17">
        <v>1</v>
      </c>
      <c r="F17">
        <v>2</v>
      </c>
      <c r="G17">
        <v>3</v>
      </c>
      <c r="J17">
        <v>341</v>
      </c>
      <c r="K17">
        <v>717</v>
      </c>
      <c r="L17">
        <v>371</v>
      </c>
      <c r="M17">
        <v>51.7</v>
      </c>
      <c r="N17">
        <v>752</v>
      </c>
    </row>
    <row r="18" spans="1:14" ht="12.75">
      <c r="A18" t="s">
        <v>45</v>
      </c>
      <c r="B18">
        <v>13.8</v>
      </c>
      <c r="C18">
        <v>58</v>
      </c>
      <c r="D18">
        <v>6</v>
      </c>
      <c r="E18">
        <v>2</v>
      </c>
      <c r="F18">
        <v>3</v>
      </c>
      <c r="G18">
        <v>1</v>
      </c>
      <c r="J18">
        <v>228</v>
      </c>
      <c r="K18">
        <v>345</v>
      </c>
      <c r="L18">
        <v>117</v>
      </c>
      <c r="M18">
        <v>33.9</v>
      </c>
      <c r="N18">
        <v>354</v>
      </c>
    </row>
    <row r="19" spans="1:14" ht="12.75">
      <c r="A19" t="s">
        <v>46</v>
      </c>
      <c r="B19">
        <v>0</v>
      </c>
      <c r="C19">
        <v>2</v>
      </c>
      <c r="F19">
        <v>23</v>
      </c>
      <c r="J19">
        <v>13</v>
      </c>
      <c r="K19">
        <v>14</v>
      </c>
      <c r="L19">
        <v>1</v>
      </c>
      <c r="M19">
        <v>7.1</v>
      </c>
      <c r="N19">
        <v>14</v>
      </c>
    </row>
    <row r="20" spans="1:14" ht="12.75">
      <c r="A20" t="s">
        <v>47</v>
      </c>
      <c r="B20">
        <v>26.3</v>
      </c>
      <c r="C20">
        <v>19</v>
      </c>
      <c r="D20">
        <v>4</v>
      </c>
      <c r="E20">
        <v>1</v>
      </c>
      <c r="F20">
        <v>1</v>
      </c>
      <c r="J20">
        <v>79</v>
      </c>
      <c r="K20">
        <v>113</v>
      </c>
      <c r="L20">
        <v>35</v>
      </c>
      <c r="M20">
        <v>31</v>
      </c>
      <c r="N20">
        <v>119</v>
      </c>
    </row>
    <row r="21" spans="1:14" ht="12.75">
      <c r="A21" t="s">
        <v>48</v>
      </c>
      <c r="B21">
        <v>0</v>
      </c>
      <c r="C21">
        <v>4</v>
      </c>
      <c r="F21">
        <v>4</v>
      </c>
      <c r="J21">
        <v>23</v>
      </c>
      <c r="K21">
        <v>25</v>
      </c>
      <c r="L21">
        <v>2</v>
      </c>
      <c r="M21">
        <v>8</v>
      </c>
      <c r="N21">
        <v>25</v>
      </c>
    </row>
    <row r="22" spans="1:14" ht="12.75">
      <c r="A22" t="s">
        <v>49</v>
      </c>
      <c r="B22">
        <v>10</v>
      </c>
      <c r="C22">
        <v>10</v>
      </c>
      <c r="D22">
        <v>1</v>
      </c>
      <c r="F22">
        <v>25</v>
      </c>
      <c r="G22">
        <v>2</v>
      </c>
      <c r="J22">
        <v>48</v>
      </c>
      <c r="K22">
        <v>58</v>
      </c>
      <c r="L22">
        <v>10</v>
      </c>
      <c r="M22">
        <v>17.2</v>
      </c>
      <c r="N22">
        <v>61</v>
      </c>
    </row>
    <row r="23" spans="1:14" ht="12.75">
      <c r="A23" t="s">
        <v>50</v>
      </c>
      <c r="B23">
        <v>19.2</v>
      </c>
      <c r="C23">
        <v>26</v>
      </c>
      <c r="D23">
        <v>3</v>
      </c>
      <c r="E23">
        <v>2</v>
      </c>
      <c r="J23">
        <v>146</v>
      </c>
      <c r="K23">
        <v>158</v>
      </c>
      <c r="L23">
        <v>19</v>
      </c>
      <c r="M23">
        <v>12</v>
      </c>
      <c r="N23">
        <v>170</v>
      </c>
    </row>
    <row r="24" spans="1:14" ht="12.75">
      <c r="A24" t="s">
        <v>51</v>
      </c>
      <c r="B24">
        <v>12.2</v>
      </c>
      <c r="C24">
        <v>49</v>
      </c>
      <c r="D24">
        <v>1</v>
      </c>
      <c r="E24">
        <v>5</v>
      </c>
      <c r="F24">
        <v>2</v>
      </c>
      <c r="G24">
        <v>1</v>
      </c>
      <c r="J24">
        <v>277</v>
      </c>
      <c r="K24">
        <v>291</v>
      </c>
      <c r="L24">
        <v>22</v>
      </c>
      <c r="M24">
        <v>7.6</v>
      </c>
      <c r="N24">
        <v>306</v>
      </c>
    </row>
    <row r="25" spans="1:14" ht="12.75">
      <c r="A25" t="s">
        <v>52</v>
      </c>
      <c r="B25">
        <v>0</v>
      </c>
      <c r="C25">
        <v>5</v>
      </c>
      <c r="F25">
        <v>2</v>
      </c>
      <c r="G25">
        <v>1</v>
      </c>
      <c r="J25">
        <v>13</v>
      </c>
      <c r="K25">
        <v>27</v>
      </c>
      <c r="L25">
        <v>14</v>
      </c>
      <c r="M25">
        <v>51.9</v>
      </c>
      <c r="N25">
        <v>28</v>
      </c>
    </row>
    <row r="26" spans="1:14" ht="12.75">
      <c r="A26" t="s">
        <v>53</v>
      </c>
      <c r="B26">
        <v>12.3</v>
      </c>
      <c r="C26">
        <v>57</v>
      </c>
      <c r="D26">
        <v>4</v>
      </c>
      <c r="E26">
        <v>3</v>
      </c>
      <c r="F26">
        <v>46</v>
      </c>
      <c r="G26">
        <v>7</v>
      </c>
      <c r="J26">
        <v>217</v>
      </c>
      <c r="K26">
        <v>340</v>
      </c>
      <c r="L26">
        <v>123</v>
      </c>
      <c r="M26">
        <v>36.2</v>
      </c>
      <c r="N26">
        <v>354</v>
      </c>
    </row>
    <row r="27" spans="1:14" ht="12.75">
      <c r="A27" t="s">
        <v>54</v>
      </c>
      <c r="B27">
        <v>0</v>
      </c>
      <c r="C27">
        <v>5</v>
      </c>
      <c r="F27">
        <v>1</v>
      </c>
      <c r="J27">
        <v>16</v>
      </c>
      <c r="K27">
        <v>30</v>
      </c>
      <c r="L27">
        <v>13</v>
      </c>
      <c r="M27">
        <v>43.3</v>
      </c>
      <c r="N27">
        <v>29</v>
      </c>
    </row>
    <row r="28" spans="1:14" ht="12.75">
      <c r="A28" t="s">
        <v>55</v>
      </c>
      <c r="B28">
        <v>11.1</v>
      </c>
      <c r="C28">
        <v>18</v>
      </c>
      <c r="E28">
        <v>2</v>
      </c>
      <c r="F28">
        <v>8</v>
      </c>
      <c r="J28">
        <v>81</v>
      </c>
      <c r="K28">
        <v>108</v>
      </c>
      <c r="L28">
        <v>27</v>
      </c>
      <c r="M28">
        <v>25</v>
      </c>
      <c r="N28">
        <v>110</v>
      </c>
    </row>
    <row r="29" spans="1:14" ht="12.75">
      <c r="A29" t="s">
        <v>56</v>
      </c>
      <c r="B29">
        <v>12.5</v>
      </c>
      <c r="C29">
        <v>32</v>
      </c>
      <c r="D29">
        <v>2</v>
      </c>
      <c r="E29">
        <v>2</v>
      </c>
      <c r="F29">
        <v>10</v>
      </c>
      <c r="G29">
        <v>1</v>
      </c>
      <c r="J29">
        <v>103</v>
      </c>
      <c r="K29">
        <v>193</v>
      </c>
      <c r="L29">
        <v>91</v>
      </c>
      <c r="M29">
        <v>47.2</v>
      </c>
      <c r="N29">
        <v>199</v>
      </c>
    </row>
    <row r="30" spans="1:14" ht="12.75">
      <c r="A30" t="s">
        <v>57</v>
      </c>
      <c r="B30">
        <v>16.7</v>
      </c>
      <c r="C30">
        <v>6</v>
      </c>
      <c r="D30">
        <v>1</v>
      </c>
      <c r="J30">
        <v>24</v>
      </c>
      <c r="K30">
        <v>36</v>
      </c>
      <c r="L30">
        <v>11</v>
      </c>
      <c r="M30">
        <v>30.6</v>
      </c>
      <c r="N30">
        <v>36</v>
      </c>
    </row>
    <row r="31" spans="1:14" ht="12.75">
      <c r="A31" t="s">
        <v>58</v>
      </c>
      <c r="B31">
        <v>66.7</v>
      </c>
      <c r="C31">
        <v>15</v>
      </c>
      <c r="D31">
        <v>8</v>
      </c>
      <c r="E31">
        <v>2</v>
      </c>
      <c r="F31">
        <v>5</v>
      </c>
      <c r="J31">
        <v>76</v>
      </c>
      <c r="K31">
        <v>92</v>
      </c>
      <c r="L31">
        <v>16</v>
      </c>
      <c r="M31">
        <v>17.4</v>
      </c>
      <c r="N31">
        <v>102</v>
      </c>
    </row>
    <row r="32" spans="1:14" ht="12.75">
      <c r="A32" t="s">
        <v>59</v>
      </c>
      <c r="B32">
        <v>60</v>
      </c>
      <c r="C32">
        <v>5</v>
      </c>
      <c r="D32">
        <v>3</v>
      </c>
      <c r="F32">
        <v>1</v>
      </c>
      <c r="J32">
        <v>27</v>
      </c>
      <c r="K32">
        <v>30</v>
      </c>
      <c r="L32">
        <v>3</v>
      </c>
      <c r="M32">
        <v>10</v>
      </c>
      <c r="N32">
        <v>33</v>
      </c>
    </row>
    <row r="33" spans="1:14" ht="12.75">
      <c r="A33" t="s">
        <v>60</v>
      </c>
      <c r="B33">
        <v>100</v>
      </c>
      <c r="C33">
        <v>4</v>
      </c>
      <c r="D33">
        <v>4</v>
      </c>
      <c r="J33">
        <v>19</v>
      </c>
      <c r="K33">
        <v>26</v>
      </c>
      <c r="L33">
        <v>7</v>
      </c>
      <c r="M33">
        <v>26.9</v>
      </c>
      <c r="N33">
        <v>30</v>
      </c>
    </row>
    <row r="34" spans="1:14" ht="12.75">
      <c r="A34" t="s">
        <v>61</v>
      </c>
      <c r="B34">
        <v>0</v>
      </c>
      <c r="C34">
        <v>4</v>
      </c>
      <c r="J34">
        <v>19</v>
      </c>
      <c r="K34">
        <v>23</v>
      </c>
      <c r="L34">
        <v>4</v>
      </c>
      <c r="M34">
        <v>17.4</v>
      </c>
      <c r="N34">
        <v>23</v>
      </c>
    </row>
    <row r="35" spans="1:14" ht="12.75">
      <c r="A35" t="s">
        <v>62</v>
      </c>
      <c r="B35">
        <v>0</v>
      </c>
      <c r="C35">
        <v>1</v>
      </c>
      <c r="J35">
        <v>7</v>
      </c>
      <c r="K35">
        <v>8</v>
      </c>
      <c r="L35">
        <v>1</v>
      </c>
      <c r="M35">
        <v>12.5</v>
      </c>
      <c r="N35">
        <v>8</v>
      </c>
    </row>
    <row r="36" spans="1:14" ht="12.75">
      <c r="A36" t="s">
        <v>110</v>
      </c>
      <c r="B36">
        <v>31.6</v>
      </c>
      <c r="C36">
        <v>57</v>
      </c>
      <c r="D36">
        <v>18</v>
      </c>
      <c r="F36">
        <v>14</v>
      </c>
      <c r="G36">
        <v>2</v>
      </c>
      <c r="J36">
        <v>202</v>
      </c>
      <c r="K36">
        <v>339</v>
      </c>
      <c r="L36">
        <v>136</v>
      </c>
      <c r="M36">
        <v>40.1</v>
      </c>
      <c r="N36">
        <v>358</v>
      </c>
    </row>
    <row r="37" spans="1:14" ht="12.75">
      <c r="A37" t="s">
        <v>63</v>
      </c>
      <c r="B37">
        <v>32.5</v>
      </c>
      <c r="C37">
        <v>40</v>
      </c>
      <c r="D37">
        <v>13</v>
      </c>
      <c r="F37">
        <v>6</v>
      </c>
      <c r="G37">
        <v>2</v>
      </c>
      <c r="J37">
        <v>171</v>
      </c>
      <c r="K37">
        <v>236</v>
      </c>
      <c r="L37">
        <v>62</v>
      </c>
      <c r="M37">
        <v>26.3</v>
      </c>
      <c r="N37">
        <v>248</v>
      </c>
    </row>
    <row r="38" spans="1:14" ht="12.75">
      <c r="A38" t="s">
        <v>64</v>
      </c>
      <c r="B38">
        <v>68.3</v>
      </c>
      <c r="C38">
        <v>41</v>
      </c>
      <c r="D38">
        <v>28</v>
      </c>
      <c r="F38">
        <v>10</v>
      </c>
      <c r="G38">
        <v>1</v>
      </c>
      <c r="J38">
        <v>122</v>
      </c>
      <c r="K38">
        <v>246</v>
      </c>
      <c r="L38">
        <v>126</v>
      </c>
      <c r="M38">
        <v>51.2</v>
      </c>
      <c r="N38">
        <v>277</v>
      </c>
    </row>
    <row r="39" spans="1:14" ht="12.75">
      <c r="A39" t="s">
        <v>65</v>
      </c>
      <c r="B39">
        <v>13.6</v>
      </c>
      <c r="C39">
        <v>22</v>
      </c>
      <c r="D39">
        <v>1</v>
      </c>
      <c r="E39">
        <v>2</v>
      </c>
      <c r="F39">
        <v>1</v>
      </c>
      <c r="J39">
        <v>93</v>
      </c>
      <c r="K39">
        <v>131</v>
      </c>
      <c r="L39">
        <v>37</v>
      </c>
      <c r="M39">
        <v>28.2</v>
      </c>
      <c r="N39">
        <v>133</v>
      </c>
    </row>
    <row r="40" spans="1:14" ht="12.75">
      <c r="A40" t="s">
        <v>66</v>
      </c>
      <c r="B40">
        <v>28.2</v>
      </c>
      <c r="C40">
        <v>39</v>
      </c>
      <c r="D40">
        <v>7</v>
      </c>
      <c r="E40">
        <v>4</v>
      </c>
      <c r="F40">
        <v>5</v>
      </c>
      <c r="G40">
        <v>3</v>
      </c>
      <c r="J40">
        <v>169</v>
      </c>
      <c r="K40">
        <v>233</v>
      </c>
      <c r="L40">
        <v>63</v>
      </c>
      <c r="M40">
        <v>27</v>
      </c>
      <c r="N40">
        <v>246</v>
      </c>
    </row>
    <row r="41" spans="1:14" ht="12.75">
      <c r="A41" t="s">
        <v>111</v>
      </c>
      <c r="B41">
        <v>27.6</v>
      </c>
      <c r="C41">
        <v>29</v>
      </c>
      <c r="D41">
        <v>8</v>
      </c>
      <c r="F41">
        <v>4</v>
      </c>
      <c r="G41">
        <v>2</v>
      </c>
      <c r="J41">
        <v>83</v>
      </c>
      <c r="K41">
        <v>175</v>
      </c>
      <c r="L41">
        <v>88</v>
      </c>
      <c r="M41">
        <v>50.3</v>
      </c>
      <c r="N41">
        <v>181</v>
      </c>
    </row>
    <row r="42" spans="1:14" ht="12.75">
      <c r="A42" t="s">
        <v>67</v>
      </c>
      <c r="B42">
        <v>0</v>
      </c>
      <c r="C42">
        <v>8</v>
      </c>
      <c r="F42">
        <v>4</v>
      </c>
      <c r="G42">
        <v>2</v>
      </c>
      <c r="J42">
        <v>30</v>
      </c>
      <c r="K42">
        <v>45</v>
      </c>
      <c r="L42">
        <v>15</v>
      </c>
      <c r="M42">
        <v>33.3</v>
      </c>
      <c r="N42">
        <v>47</v>
      </c>
    </row>
    <row r="43" spans="1:14" ht="12.75">
      <c r="A43" t="s">
        <v>68</v>
      </c>
      <c r="B43">
        <v>23.8</v>
      </c>
      <c r="C43">
        <v>21</v>
      </c>
      <c r="D43">
        <v>5</v>
      </c>
      <c r="F43">
        <v>2</v>
      </c>
      <c r="J43">
        <v>87</v>
      </c>
      <c r="K43">
        <v>125</v>
      </c>
      <c r="L43">
        <v>38</v>
      </c>
      <c r="M43">
        <v>30.4</v>
      </c>
      <c r="N43">
        <v>130</v>
      </c>
    </row>
    <row r="44" spans="1:14" ht="12.75">
      <c r="A44" t="s">
        <v>69</v>
      </c>
      <c r="B44">
        <v>33.3</v>
      </c>
      <c r="C44">
        <v>27</v>
      </c>
      <c r="D44">
        <v>7</v>
      </c>
      <c r="E44">
        <v>2</v>
      </c>
      <c r="F44">
        <v>5</v>
      </c>
      <c r="G44">
        <v>2</v>
      </c>
      <c r="J44">
        <v>85</v>
      </c>
      <c r="K44">
        <v>160</v>
      </c>
      <c r="L44">
        <v>71</v>
      </c>
      <c r="M44">
        <v>44.4</v>
      </c>
      <c r="N44">
        <v>167</v>
      </c>
    </row>
    <row r="45" spans="1:14" ht="12.75">
      <c r="A45" t="s">
        <v>70</v>
      </c>
      <c r="B45">
        <v>6.3</v>
      </c>
      <c r="C45">
        <v>16</v>
      </c>
      <c r="E45">
        <v>1</v>
      </c>
      <c r="F45">
        <v>53</v>
      </c>
      <c r="G45">
        <v>5</v>
      </c>
      <c r="J45">
        <v>71</v>
      </c>
      <c r="K45">
        <v>95</v>
      </c>
      <c r="L45">
        <v>23</v>
      </c>
      <c r="M45">
        <v>24.2</v>
      </c>
      <c r="N45">
        <v>100</v>
      </c>
    </row>
    <row r="46" spans="1:14" ht="12.75">
      <c r="A46" t="s">
        <v>71</v>
      </c>
      <c r="B46">
        <v>0</v>
      </c>
      <c r="C46">
        <v>1</v>
      </c>
      <c r="J46">
        <v>3</v>
      </c>
      <c r="K46">
        <v>4</v>
      </c>
      <c r="L46">
        <v>1</v>
      </c>
      <c r="M46">
        <v>25</v>
      </c>
      <c r="N46">
        <v>4</v>
      </c>
    </row>
    <row r="47" spans="1:14" ht="12.75">
      <c r="A47" t="s">
        <v>72</v>
      </c>
      <c r="B47">
        <v>21.4</v>
      </c>
      <c r="C47">
        <v>14</v>
      </c>
      <c r="D47">
        <v>2</v>
      </c>
      <c r="E47">
        <v>1</v>
      </c>
      <c r="F47">
        <v>22</v>
      </c>
      <c r="G47">
        <v>1</v>
      </c>
      <c r="J47">
        <v>68</v>
      </c>
      <c r="K47">
        <v>82</v>
      </c>
      <c r="L47">
        <v>14</v>
      </c>
      <c r="M47">
        <v>17.1</v>
      </c>
      <c r="N47">
        <v>86</v>
      </c>
    </row>
    <row r="48" spans="1:14" ht="12.75">
      <c r="A48" t="s">
        <v>73</v>
      </c>
      <c r="B48">
        <v>50</v>
      </c>
      <c r="C48">
        <v>2</v>
      </c>
      <c r="E48">
        <v>1</v>
      </c>
      <c r="J48">
        <v>11</v>
      </c>
      <c r="K48">
        <v>12</v>
      </c>
      <c r="L48">
        <v>1</v>
      </c>
      <c r="M48">
        <v>8.3</v>
      </c>
      <c r="N48">
        <v>13</v>
      </c>
    </row>
    <row r="49" spans="1:14" ht="12.75">
      <c r="A49" t="s">
        <v>74</v>
      </c>
      <c r="B49">
        <v>10</v>
      </c>
      <c r="C49">
        <v>10</v>
      </c>
      <c r="D49">
        <v>1</v>
      </c>
      <c r="F49">
        <v>1</v>
      </c>
      <c r="G49">
        <v>1</v>
      </c>
      <c r="J49">
        <v>43</v>
      </c>
      <c r="K49">
        <v>59</v>
      </c>
      <c r="L49">
        <v>14</v>
      </c>
      <c r="M49">
        <v>23.7</v>
      </c>
      <c r="N49">
        <v>59</v>
      </c>
    </row>
    <row r="50" spans="1:14" ht="12.75">
      <c r="A50" t="s">
        <v>75</v>
      </c>
      <c r="B50">
        <v>33.3</v>
      </c>
      <c r="C50">
        <v>3</v>
      </c>
      <c r="E50">
        <v>1</v>
      </c>
      <c r="F50">
        <v>2</v>
      </c>
      <c r="J50">
        <v>14</v>
      </c>
      <c r="K50">
        <v>17</v>
      </c>
      <c r="L50">
        <v>3</v>
      </c>
      <c r="M50">
        <v>17.7</v>
      </c>
      <c r="N50">
        <v>18</v>
      </c>
    </row>
    <row r="51" spans="1:14" ht="12.75">
      <c r="A51" t="s">
        <v>76</v>
      </c>
      <c r="B51">
        <v>0</v>
      </c>
      <c r="C51">
        <v>1</v>
      </c>
      <c r="J51">
        <v>4</v>
      </c>
      <c r="K51">
        <v>5</v>
      </c>
      <c r="L51">
        <v>1</v>
      </c>
      <c r="M51">
        <v>20</v>
      </c>
      <c r="N51">
        <v>5</v>
      </c>
    </row>
    <row r="52" spans="1:14" ht="12.75">
      <c r="A52" t="s">
        <v>77</v>
      </c>
      <c r="B52">
        <v>0</v>
      </c>
      <c r="C52">
        <v>1</v>
      </c>
      <c r="J52">
        <v>5</v>
      </c>
      <c r="K52">
        <v>8</v>
      </c>
      <c r="L52">
        <v>3</v>
      </c>
      <c r="M52">
        <v>37.5</v>
      </c>
      <c r="N52">
        <v>8</v>
      </c>
    </row>
    <row r="53" spans="1:14" ht="12.75">
      <c r="A53" t="s">
        <v>78</v>
      </c>
      <c r="B53">
        <v>36.5</v>
      </c>
      <c r="C53">
        <v>96</v>
      </c>
      <c r="D53">
        <v>30</v>
      </c>
      <c r="E53">
        <v>5</v>
      </c>
      <c r="F53">
        <v>23</v>
      </c>
      <c r="G53">
        <v>3</v>
      </c>
      <c r="J53">
        <v>301</v>
      </c>
      <c r="K53">
        <v>571</v>
      </c>
      <c r="L53">
        <v>274</v>
      </c>
      <c r="M53">
        <v>48</v>
      </c>
      <c r="N53">
        <v>613</v>
      </c>
    </row>
    <row r="54" spans="1:14" ht="12.75">
      <c r="A54" t="s">
        <v>79</v>
      </c>
      <c r="B54">
        <v>0</v>
      </c>
      <c r="C54">
        <v>1</v>
      </c>
      <c r="J54">
        <v>4</v>
      </c>
      <c r="K54">
        <v>5</v>
      </c>
      <c r="L54">
        <v>1</v>
      </c>
      <c r="M54">
        <v>20</v>
      </c>
      <c r="N54">
        <v>5</v>
      </c>
    </row>
    <row r="55" spans="1:14" ht="12.75">
      <c r="A55" t="s">
        <v>80</v>
      </c>
      <c r="B55">
        <v>26.3</v>
      </c>
      <c r="C55">
        <v>19</v>
      </c>
      <c r="D55">
        <v>4</v>
      </c>
      <c r="E55">
        <v>1</v>
      </c>
      <c r="F55">
        <v>23</v>
      </c>
      <c r="G55">
        <v>4</v>
      </c>
      <c r="H55">
        <v>1</v>
      </c>
      <c r="J55">
        <v>79</v>
      </c>
      <c r="K55">
        <v>115</v>
      </c>
      <c r="L55">
        <v>34</v>
      </c>
      <c r="M55">
        <v>29.6</v>
      </c>
      <c r="N55">
        <v>122</v>
      </c>
    </row>
    <row r="56" spans="1:14" ht="12.75">
      <c r="A56" t="s">
        <v>81</v>
      </c>
      <c r="B56">
        <v>40</v>
      </c>
      <c r="C56">
        <v>15</v>
      </c>
      <c r="E56">
        <v>6</v>
      </c>
      <c r="J56">
        <v>70</v>
      </c>
      <c r="K56">
        <v>87</v>
      </c>
      <c r="L56">
        <v>16</v>
      </c>
      <c r="M56">
        <v>18.4</v>
      </c>
      <c r="N56">
        <v>92</v>
      </c>
    </row>
    <row r="57" spans="1:14" ht="12.75">
      <c r="A57" t="s">
        <v>82</v>
      </c>
      <c r="B57">
        <v>55.6</v>
      </c>
      <c r="C57">
        <v>9</v>
      </c>
      <c r="D57">
        <v>5</v>
      </c>
      <c r="F57">
        <v>4</v>
      </c>
      <c r="J57">
        <v>28</v>
      </c>
      <c r="K57">
        <v>55</v>
      </c>
      <c r="L57">
        <v>27</v>
      </c>
      <c r="M57">
        <v>49.1</v>
      </c>
      <c r="N57">
        <v>60</v>
      </c>
    </row>
    <row r="58" spans="1:14" ht="12.75">
      <c r="A58" t="s">
        <v>112</v>
      </c>
      <c r="B58">
        <v>14.1</v>
      </c>
      <c r="C58">
        <v>71</v>
      </c>
      <c r="D58">
        <v>9</v>
      </c>
      <c r="E58">
        <v>1</v>
      </c>
      <c r="F58">
        <v>50</v>
      </c>
      <c r="G58">
        <v>10</v>
      </c>
      <c r="J58">
        <v>253</v>
      </c>
      <c r="K58">
        <v>422</v>
      </c>
      <c r="L58">
        <v>165</v>
      </c>
      <c r="M58">
        <v>39.1</v>
      </c>
      <c r="N58">
        <v>438</v>
      </c>
    </row>
    <row r="59" spans="1:14" ht="12.75">
      <c r="A59" t="s">
        <v>83</v>
      </c>
      <c r="B59">
        <v>0</v>
      </c>
      <c r="D59">
        <v>27</v>
      </c>
      <c r="E59">
        <v>3</v>
      </c>
      <c r="F59">
        <v>59</v>
      </c>
      <c r="G59">
        <v>3</v>
      </c>
      <c r="H59">
        <v>1</v>
      </c>
      <c r="J59">
        <v>212</v>
      </c>
      <c r="K59">
        <v>312</v>
      </c>
      <c r="L59">
        <v>85</v>
      </c>
      <c r="M59">
        <v>27.2</v>
      </c>
      <c r="N59">
        <v>330</v>
      </c>
    </row>
    <row r="60" spans="2:14" ht="12.75">
      <c r="B60" t="s">
        <v>15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  <c r="K60" t="s">
        <v>17</v>
      </c>
      <c r="L60" t="s">
        <v>16</v>
      </c>
      <c r="M60" t="s">
        <v>16</v>
      </c>
      <c r="N60" t="s">
        <v>16</v>
      </c>
    </row>
    <row r="61" spans="1:14" s="23" customFormat="1" ht="12.75">
      <c r="A61" s="23" t="s">
        <v>84</v>
      </c>
      <c r="B61" s="23">
        <v>27.3</v>
      </c>
      <c r="C61" s="23">
        <v>1200</v>
      </c>
      <c r="D61" s="23">
        <v>266</v>
      </c>
      <c r="E61" s="23">
        <v>61</v>
      </c>
      <c r="F61" s="23">
        <v>567</v>
      </c>
      <c r="G61" s="23">
        <v>63</v>
      </c>
      <c r="H61" s="23">
        <v>3</v>
      </c>
      <c r="J61" s="23">
        <v>4855</v>
      </c>
      <c r="K61" s="23">
        <v>7462</v>
      </c>
      <c r="L61" s="23">
        <v>2593</v>
      </c>
      <c r="M61" s="23">
        <v>34.8</v>
      </c>
      <c r="N61" s="23">
        <v>7838</v>
      </c>
    </row>
    <row r="62" ht="7.5" customHeight="1"/>
    <row r="63" ht="12">
      <c r="C63" s="17" t="s">
        <v>101</v>
      </c>
    </row>
    <row r="64" ht="7.5" customHeight="1"/>
    <row r="65" spans="1:7" ht="11.25">
      <c r="A65" s="8" t="s">
        <v>18</v>
      </c>
      <c r="C65" s="10">
        <f>K61</f>
        <v>7462</v>
      </c>
      <c r="G65" s="8" t="s">
        <v>85</v>
      </c>
    </row>
    <row r="66" spans="1:7" ht="12">
      <c r="A66" s="6" t="s">
        <v>113</v>
      </c>
      <c r="C66" s="10">
        <f>(N61-J61)-SUM(C70+C71+C72+C67)</f>
        <v>2593</v>
      </c>
      <c r="G66" s="8" t="s">
        <v>86</v>
      </c>
    </row>
    <row r="67" spans="1:3" ht="11.25">
      <c r="A67" s="11" t="s">
        <v>19</v>
      </c>
      <c r="C67" s="10"/>
    </row>
    <row r="68" spans="1:7" ht="11.25">
      <c r="A68" s="11" t="s">
        <v>20</v>
      </c>
      <c r="C68" s="12">
        <f>(C67+C66)/C65</f>
        <v>0.34749396944518895</v>
      </c>
      <c r="G68" s="19" t="s">
        <v>87</v>
      </c>
    </row>
    <row r="69" spans="3:7" ht="9.75" customHeight="1">
      <c r="C69" s="13"/>
      <c r="G69" s="8" t="s">
        <v>88</v>
      </c>
    </row>
    <row r="70" spans="1:3" ht="11.25">
      <c r="A70" s="11" t="s">
        <v>21</v>
      </c>
      <c r="C70" s="10">
        <f>E61</f>
        <v>61</v>
      </c>
    </row>
    <row r="71" spans="1:3" ht="11.25">
      <c r="A71" s="8" t="s">
        <v>22</v>
      </c>
      <c r="C71" s="10">
        <f>D61</f>
        <v>266</v>
      </c>
    </row>
    <row r="72" spans="1:3" ht="11.25">
      <c r="A72" s="8" t="s">
        <v>23</v>
      </c>
      <c r="C72" s="10">
        <f>G61</f>
        <v>63</v>
      </c>
    </row>
    <row r="73" spans="1:7" ht="11.25">
      <c r="A73" s="14" t="s">
        <v>89</v>
      </c>
      <c r="B73" s="9"/>
      <c r="C73" s="15">
        <f>C66+C67+C70+C71+C72</f>
        <v>2983</v>
      </c>
      <c r="G73" s="8" t="s">
        <v>90</v>
      </c>
    </row>
    <row r="74" ht="11.25">
      <c r="H74" s="8" t="s">
        <v>91</v>
      </c>
    </row>
    <row r="75" spans="1:7" ht="12">
      <c r="A75" s="8" t="s">
        <v>24</v>
      </c>
      <c r="C75" s="10">
        <v>942</v>
      </c>
      <c r="G75" s="22" t="s">
        <v>92</v>
      </c>
    </row>
    <row r="76" spans="1:8" ht="11.25">
      <c r="A76" s="21" t="s">
        <v>25</v>
      </c>
      <c r="C76" s="10">
        <f>125+6</f>
        <v>131</v>
      </c>
      <c r="H76" s="8" t="s">
        <v>93</v>
      </c>
    </row>
    <row r="77" spans="1:3" ht="11.25">
      <c r="A77" s="21" t="s">
        <v>26</v>
      </c>
      <c r="C77" s="10">
        <f>57</f>
        <v>57</v>
      </c>
    </row>
    <row r="78" spans="1:3" ht="11.25">
      <c r="A78" s="14" t="s">
        <v>27</v>
      </c>
      <c r="B78" s="9"/>
      <c r="C78" s="15">
        <f>SUM(C76:C77)</f>
        <v>188</v>
      </c>
    </row>
    <row r="80" spans="1:3" ht="12" thickBot="1">
      <c r="A80" s="14" t="s">
        <v>28</v>
      </c>
      <c r="B80" s="9"/>
      <c r="C80" s="16">
        <f>SUM(C73+C78)</f>
        <v>3171</v>
      </c>
    </row>
    <row r="81" spans="1:3" ht="12" thickTop="1">
      <c r="A81" s="14"/>
      <c r="B81" s="9"/>
      <c r="C81" s="15"/>
    </row>
  </sheetData>
  <printOptions gridLines="1" horizontalCentered="1"/>
  <pageMargins left="0.25" right="0.26" top="0.65" bottom="0.64" header="0.38" footer="0.5"/>
  <pageSetup horizontalDpi="300" verticalDpi="300" orientation="portrait" scale="73" r:id="rId1"/>
  <headerFooter alignWithMargins="0">
    <oddHeader>&amp;C&amp;12Month Ending September 30, 2000</oddHeader>
    <oddFooter>&amp;CPage 13&amp;R&amp;D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showGridLines="0" workbookViewId="0" topLeftCell="A27">
      <selection activeCell="L39" sqref="L39"/>
    </sheetView>
  </sheetViews>
  <sheetFormatPr defaultColWidth="9.140625" defaultRowHeight="12.75"/>
  <cols>
    <col min="1" max="1" width="2.8515625" style="35" customWidth="1"/>
    <col min="2" max="2" width="43.00390625" style="33" customWidth="1"/>
    <col min="3" max="16384" width="9.140625" style="33" customWidth="1"/>
  </cols>
  <sheetData>
    <row r="1" spans="1:4" ht="13.5">
      <c r="A1" s="32" t="s">
        <v>136</v>
      </c>
      <c r="D1" s="42"/>
    </row>
    <row r="2" spans="1:4" ht="13.5">
      <c r="A2" s="32"/>
      <c r="D2" s="42"/>
    </row>
    <row r="3" ht="13.5">
      <c r="A3" s="32" t="s">
        <v>637</v>
      </c>
    </row>
    <row r="4" spans="2:4" s="62" customFormat="1" ht="15" customHeight="1">
      <c r="B4" s="39" t="s">
        <v>134</v>
      </c>
      <c r="C4" s="39"/>
      <c r="D4" s="39"/>
    </row>
    <row r="5" spans="1:2" s="62" customFormat="1" ht="13.5">
      <c r="A5" s="42"/>
      <c r="B5" s="39" t="s">
        <v>135</v>
      </c>
    </row>
    <row r="6" spans="1:4" ht="13.5">
      <c r="A6" s="32"/>
      <c r="D6" s="42"/>
    </row>
    <row r="7" ht="13.5">
      <c r="A7" s="32" t="s">
        <v>299</v>
      </c>
    </row>
    <row r="8" ht="12.75">
      <c r="B8" s="36" t="s">
        <v>626</v>
      </c>
    </row>
    <row r="9" ht="12.75">
      <c r="A9" s="34"/>
    </row>
    <row r="10" ht="13.5">
      <c r="A10" s="32" t="s">
        <v>657</v>
      </c>
    </row>
    <row r="11" spans="1:2" ht="12.75">
      <c r="A11" s="33"/>
      <c r="B11" s="39" t="s">
        <v>627</v>
      </c>
    </row>
    <row r="12" spans="1:2" ht="12.75">
      <c r="A12" s="33"/>
      <c r="B12" s="39" t="s">
        <v>307</v>
      </c>
    </row>
    <row r="13" ht="13.5">
      <c r="A13" s="32"/>
    </row>
    <row r="14" ht="13.5">
      <c r="A14" s="32" t="s">
        <v>658</v>
      </c>
    </row>
    <row r="15" ht="12.75">
      <c r="B15" s="39" t="s">
        <v>116</v>
      </c>
    </row>
    <row r="16" ht="12.75">
      <c r="B16" s="39"/>
    </row>
    <row r="17" ht="12.75">
      <c r="A17" s="34"/>
    </row>
    <row r="18" ht="13.5" hidden="1">
      <c r="A18" s="32" t="s">
        <v>295</v>
      </c>
    </row>
    <row r="19" spans="2:6" ht="24.75" customHeight="1" hidden="1">
      <c r="B19" s="222" t="s">
        <v>298</v>
      </c>
      <c r="C19" s="222"/>
      <c r="D19" s="222"/>
      <c r="E19" s="222"/>
      <c r="F19" s="222"/>
    </row>
    <row r="20" ht="13.5" hidden="1">
      <c r="A20" s="32"/>
    </row>
    <row r="21" ht="13.5" hidden="1">
      <c r="A21" s="32" t="s">
        <v>296</v>
      </c>
    </row>
    <row r="22" spans="2:4" ht="12.75" hidden="1">
      <c r="B22" s="223" t="s">
        <v>297</v>
      </c>
      <c r="C22" s="223"/>
      <c r="D22" s="223"/>
    </row>
    <row r="23" ht="12.75" hidden="1">
      <c r="A23" s="34"/>
    </row>
    <row r="24" ht="13.5">
      <c r="A24" s="32" t="s">
        <v>659</v>
      </c>
    </row>
    <row r="25" ht="12.75">
      <c r="B25" s="36" t="s">
        <v>114</v>
      </c>
    </row>
    <row r="26" ht="12.75">
      <c r="A26" s="34"/>
    </row>
    <row r="27" ht="13.5">
      <c r="A27" s="32" t="s">
        <v>660</v>
      </c>
    </row>
    <row r="28" ht="12.75">
      <c r="B28" s="36" t="s">
        <v>640</v>
      </c>
    </row>
    <row r="29" ht="12.75">
      <c r="B29" s="36"/>
    </row>
    <row r="30" ht="13.5">
      <c r="A30" s="32" t="s">
        <v>638</v>
      </c>
    </row>
    <row r="31" ht="12.75">
      <c r="B31" s="36" t="s">
        <v>628</v>
      </c>
    </row>
    <row r="32" ht="12.75">
      <c r="A32" s="34"/>
    </row>
    <row r="33" ht="13.5">
      <c r="A33" s="32" t="s">
        <v>635</v>
      </c>
    </row>
    <row r="34" ht="12.75">
      <c r="B34" s="61" t="s">
        <v>641</v>
      </c>
    </row>
    <row r="35" ht="12.75">
      <c r="A35" s="34"/>
    </row>
    <row r="36" ht="13.5">
      <c r="A36" s="32" t="s">
        <v>636</v>
      </c>
    </row>
    <row r="37" ht="12.75">
      <c r="B37" s="61" t="s">
        <v>115</v>
      </c>
    </row>
    <row r="38" ht="12.75">
      <c r="B38" s="39"/>
    </row>
    <row r="39" ht="12.75">
      <c r="A39" s="34"/>
    </row>
    <row r="40" ht="13.5" hidden="1">
      <c r="A40" s="32" t="s">
        <v>294</v>
      </c>
    </row>
    <row r="41" ht="12.75" hidden="1">
      <c r="B41" s="37" t="s">
        <v>115</v>
      </c>
    </row>
    <row r="42" ht="12.75" hidden="1">
      <c r="A42" s="34"/>
    </row>
    <row r="43" ht="13.5">
      <c r="A43" s="32" t="s">
        <v>639</v>
      </c>
    </row>
    <row r="44" ht="11.25">
      <c r="B44" s="41" t="s">
        <v>308</v>
      </c>
    </row>
    <row r="45" spans="1:2" ht="12.75">
      <c r="A45" s="34"/>
      <c r="B45" s="41" t="s">
        <v>300</v>
      </c>
    </row>
    <row r="46" spans="1:6" ht="12.75">
      <c r="A46" s="34"/>
      <c r="B46" s="224" t="s">
        <v>309</v>
      </c>
      <c r="C46" s="224"/>
      <c r="D46" s="224"/>
      <c r="E46" s="224"/>
      <c r="F46" s="224"/>
    </row>
    <row r="47" spans="1:5" ht="12.75">
      <c r="A47" s="34"/>
      <c r="E47" s="192"/>
    </row>
    <row r="48" spans="1:6" s="190" customFormat="1" ht="12.75">
      <c r="A48" s="186"/>
      <c r="B48" s="187" t="s">
        <v>634</v>
      </c>
      <c r="C48" s="188"/>
      <c r="D48" s="188"/>
      <c r="E48" s="191"/>
      <c r="F48" s="189"/>
    </row>
    <row r="49" ht="12.75" hidden="1">
      <c r="B49" s="36" t="s">
        <v>137</v>
      </c>
    </row>
    <row r="50" ht="12.75">
      <c r="A50" s="34"/>
    </row>
    <row r="51" ht="13.5">
      <c r="A51" s="32" t="s">
        <v>117</v>
      </c>
    </row>
    <row r="52" ht="13.5">
      <c r="A52" s="32" t="s">
        <v>118</v>
      </c>
    </row>
    <row r="53" ht="12.75">
      <c r="B53" s="37" t="s">
        <v>629</v>
      </c>
    </row>
    <row r="54" ht="12.75">
      <c r="A54" s="34"/>
    </row>
    <row r="55" ht="13.5">
      <c r="A55" s="32" t="s">
        <v>119</v>
      </c>
    </row>
    <row r="56" ht="12.75">
      <c r="B56" s="37" t="s">
        <v>630</v>
      </c>
    </row>
    <row r="57" ht="12.75">
      <c r="A57" s="34"/>
    </row>
    <row r="58" ht="13.5">
      <c r="A58" s="32" t="s">
        <v>120</v>
      </c>
    </row>
    <row r="59" ht="12.75">
      <c r="B59" s="37" t="s">
        <v>631</v>
      </c>
    </row>
    <row r="60" ht="12.75">
      <c r="A60" s="34"/>
    </row>
    <row r="61" ht="13.5">
      <c r="A61" s="32" t="s">
        <v>22</v>
      </c>
    </row>
    <row r="62" ht="12.75">
      <c r="B62" s="37" t="s">
        <v>632</v>
      </c>
    </row>
    <row r="63" ht="12.75">
      <c r="A63" s="34"/>
    </row>
    <row r="64" ht="13.5">
      <c r="A64" s="32" t="s">
        <v>621</v>
      </c>
    </row>
    <row r="65" ht="12.75">
      <c r="B65" s="37" t="s">
        <v>642</v>
      </c>
    </row>
    <row r="66" ht="12.75">
      <c r="A66" s="34"/>
    </row>
    <row r="67" ht="13.5">
      <c r="A67" s="32" t="s">
        <v>121</v>
      </c>
    </row>
    <row r="68" spans="2:4" ht="28.5" customHeight="1">
      <c r="B68" s="222" t="s">
        <v>643</v>
      </c>
      <c r="C68" s="222"/>
      <c r="D68" s="222"/>
    </row>
    <row r="69" ht="12.75">
      <c r="A69" s="34"/>
    </row>
    <row r="70" ht="13.5">
      <c r="A70" s="32" t="s">
        <v>122</v>
      </c>
    </row>
    <row r="71" ht="12.75">
      <c r="B71" s="38" t="s">
        <v>302</v>
      </c>
    </row>
    <row r="72" ht="12.75">
      <c r="B72" s="38"/>
    </row>
    <row r="73" spans="1:2" ht="12.75" hidden="1">
      <c r="A73" s="34"/>
      <c r="B73" s="63" t="s">
        <v>301</v>
      </c>
    </row>
    <row r="74" ht="13.5" hidden="1">
      <c r="A74" s="32" t="s">
        <v>123</v>
      </c>
    </row>
    <row r="75" ht="12.75" hidden="1">
      <c r="B75" s="39" t="s">
        <v>633</v>
      </c>
    </row>
    <row r="76" ht="12.75" hidden="1">
      <c r="A76" s="34"/>
    </row>
    <row r="77" ht="13.5" hidden="1">
      <c r="A77" s="32" t="s">
        <v>124</v>
      </c>
    </row>
    <row r="78" ht="12.75" hidden="1">
      <c r="B78" s="37" t="s">
        <v>125</v>
      </c>
    </row>
    <row r="79" ht="12.75" hidden="1">
      <c r="A79" s="34"/>
    </row>
    <row r="80" ht="13.5" hidden="1">
      <c r="A80" s="32" t="s">
        <v>126</v>
      </c>
    </row>
    <row r="81" ht="12.75" hidden="1">
      <c r="B81" s="37" t="s">
        <v>127</v>
      </c>
    </row>
    <row r="82" ht="12.75" hidden="1">
      <c r="A82" s="34"/>
    </row>
    <row r="83" ht="13.5" hidden="1">
      <c r="A83" s="32" t="s">
        <v>128</v>
      </c>
    </row>
    <row r="84" ht="12.75" hidden="1">
      <c r="B84" s="37" t="s">
        <v>129</v>
      </c>
    </row>
    <row r="85" ht="12.75" hidden="1">
      <c r="A85" s="34"/>
    </row>
    <row r="86" spans="1:2" ht="13.5" hidden="1">
      <c r="A86" s="32" t="s">
        <v>130</v>
      </c>
      <c r="B86" s="37" t="s">
        <v>131</v>
      </c>
    </row>
  </sheetData>
  <mergeCells count="4">
    <mergeCell ref="B19:F19"/>
    <mergeCell ref="B22:D22"/>
    <mergeCell ref="B68:D68"/>
    <mergeCell ref="B46:F46"/>
  </mergeCells>
  <printOptions/>
  <pageMargins left="0.25" right="0.25" top="0.56" bottom="0.33" header="0.29" footer="0.2"/>
  <pageSetup horizontalDpi="600" verticalDpi="600" orientation="portrait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75" zoomScaleNormal="75" workbookViewId="0" topLeftCell="A1">
      <selection activeCell="I51" sqref="I51"/>
    </sheetView>
  </sheetViews>
  <sheetFormatPr defaultColWidth="9.140625" defaultRowHeight="12.75"/>
  <cols>
    <col min="1" max="1" width="9.140625" style="67" customWidth="1"/>
    <col min="2" max="2" width="27.28125" style="25" customWidth="1"/>
    <col min="3" max="3" width="7.7109375" style="25" customWidth="1"/>
    <col min="4" max="4" width="9.8515625" style="25" customWidth="1"/>
    <col min="5" max="5" width="10.00390625" style="25" customWidth="1"/>
    <col min="6" max="6" width="9.421875" style="25" customWidth="1"/>
    <col min="7" max="7" width="9.57421875" style="25" customWidth="1"/>
    <col min="8" max="8" width="9.57421875" style="74" customWidth="1"/>
    <col min="9" max="9" width="9.421875" style="25" customWidth="1"/>
    <col min="10" max="10" width="7.57421875" style="25" customWidth="1"/>
    <col min="11" max="11" width="7.421875" style="25" customWidth="1"/>
    <col min="12" max="13" width="11.57421875" style="74" customWidth="1"/>
    <col min="14" max="16384" width="9.140625" style="25" customWidth="1"/>
  </cols>
  <sheetData>
    <row r="1" spans="1:12" s="67" customFormat="1" ht="12">
      <c r="A1" s="86" t="s">
        <v>693</v>
      </c>
      <c r="C1" s="67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</row>
    <row r="2" spans="1:13" s="68" customFormat="1" ht="51">
      <c r="A2" s="71" t="s">
        <v>191</v>
      </c>
      <c r="B2" s="71" t="s">
        <v>190</v>
      </c>
      <c r="C2" s="72" t="s">
        <v>509</v>
      </c>
      <c r="D2" s="72" t="s">
        <v>305</v>
      </c>
      <c r="E2" s="72" t="s">
        <v>186</v>
      </c>
      <c r="F2" s="72" t="s">
        <v>187</v>
      </c>
      <c r="G2" s="72" t="s">
        <v>306</v>
      </c>
      <c r="H2" s="72" t="s">
        <v>621</v>
      </c>
      <c r="I2" s="72" t="s">
        <v>510</v>
      </c>
      <c r="J2" s="72" t="s">
        <v>188</v>
      </c>
      <c r="K2" s="72" t="s">
        <v>189</v>
      </c>
      <c r="L2" s="210" t="s">
        <v>667</v>
      </c>
      <c r="M2" s="72"/>
    </row>
    <row r="3" spans="11:13" ht="12">
      <c r="K3" s="74"/>
      <c r="L3" s="25"/>
      <c r="M3" s="25"/>
    </row>
    <row r="4" spans="1:13" ht="12">
      <c r="A4" s="43" t="s">
        <v>168</v>
      </c>
      <c r="K4" s="74"/>
      <c r="L4" s="25"/>
      <c r="M4" s="25"/>
    </row>
    <row r="5" spans="2:13" ht="12.75">
      <c r="B5" s="43"/>
      <c r="C5" s="169"/>
      <c r="D5" s="161"/>
      <c r="E5" s="128"/>
      <c r="F5" s="169"/>
      <c r="G5" s="171"/>
      <c r="H5" s="161"/>
      <c r="I5" s="169"/>
      <c r="J5" s="171"/>
      <c r="K5" s="169"/>
      <c r="L5" s="171"/>
      <c r="M5" s="171"/>
    </row>
    <row r="6" spans="1:13" s="108" customFormat="1" ht="12.75">
      <c r="A6" s="127">
        <v>30100</v>
      </c>
      <c r="B6" s="165" t="s">
        <v>321</v>
      </c>
      <c r="C6" s="162">
        <v>732</v>
      </c>
      <c r="D6" s="162">
        <v>663</v>
      </c>
      <c r="E6" s="203">
        <f>D6/C6</f>
        <v>0.9057377049180327</v>
      </c>
      <c r="F6" s="162">
        <f>C6-D6</f>
        <v>69</v>
      </c>
      <c r="G6" s="162">
        <v>28</v>
      </c>
      <c r="H6" s="162">
        <v>12</v>
      </c>
      <c r="I6" s="169">
        <v>21</v>
      </c>
      <c r="J6" s="162">
        <v>7</v>
      </c>
      <c r="K6" s="169">
        <f>I6-J6</f>
        <v>14</v>
      </c>
      <c r="L6" s="162">
        <f>D6+G6+H6+J6</f>
        <v>710</v>
      </c>
      <c r="M6" s="162"/>
    </row>
    <row r="7" spans="1:13" s="108" customFormat="1" ht="12.75">
      <c r="A7" s="127">
        <v>30200</v>
      </c>
      <c r="B7" s="165" t="s">
        <v>322</v>
      </c>
      <c r="C7" s="162">
        <v>1252</v>
      </c>
      <c r="D7" s="162">
        <v>1115</v>
      </c>
      <c r="E7" s="203">
        <f aca="true" t="shared" si="0" ref="E7:E44">D7/C7</f>
        <v>0.8905750798722045</v>
      </c>
      <c r="F7" s="162">
        <f aca="true" t="shared" si="1" ref="F7:F44">C7-D7</f>
        <v>137</v>
      </c>
      <c r="G7" s="162">
        <v>52</v>
      </c>
      <c r="H7" s="162">
        <v>14</v>
      </c>
      <c r="I7" s="169">
        <v>40</v>
      </c>
      <c r="J7" s="162">
        <v>27</v>
      </c>
      <c r="K7" s="169">
        <f aca="true" t="shared" si="2" ref="K7:K44">I7-J7</f>
        <v>13</v>
      </c>
      <c r="L7" s="169">
        <f aca="true" t="shared" si="3" ref="L7:L44">D7+G7+H7+J7</f>
        <v>1208</v>
      </c>
      <c r="M7" s="162"/>
    </row>
    <row r="8" spans="1:13" s="108" customFormat="1" ht="12.75">
      <c r="A8" s="127">
        <v>20510</v>
      </c>
      <c r="B8" s="165" t="s">
        <v>323</v>
      </c>
      <c r="C8" s="162">
        <v>436</v>
      </c>
      <c r="D8" s="162">
        <v>397</v>
      </c>
      <c r="E8" s="203">
        <f t="shared" si="0"/>
        <v>0.9105504587155964</v>
      </c>
      <c r="F8" s="162">
        <f t="shared" si="1"/>
        <v>39</v>
      </c>
      <c r="G8" s="162">
        <v>13</v>
      </c>
      <c r="H8" s="162">
        <v>3</v>
      </c>
      <c r="I8" s="169">
        <f>4+1+1+1</f>
        <v>7</v>
      </c>
      <c r="J8" s="162">
        <v>7</v>
      </c>
      <c r="K8" s="169">
        <f t="shared" si="2"/>
        <v>0</v>
      </c>
      <c r="L8" s="162">
        <f t="shared" si="3"/>
        <v>420</v>
      </c>
      <c r="M8" s="162"/>
    </row>
    <row r="9" spans="1:13" s="108" customFormat="1" ht="12.75">
      <c r="A9" s="127">
        <v>10100</v>
      </c>
      <c r="B9" s="165" t="s">
        <v>324</v>
      </c>
      <c r="C9" s="162">
        <v>1926</v>
      </c>
      <c r="D9" s="162">
        <v>1637</v>
      </c>
      <c r="E9" s="203">
        <f t="shared" si="0"/>
        <v>0.8499480789200415</v>
      </c>
      <c r="F9" s="162">
        <f t="shared" si="1"/>
        <v>289</v>
      </c>
      <c r="G9" s="162">
        <v>90</v>
      </c>
      <c r="H9" s="162">
        <v>38</v>
      </c>
      <c r="I9" s="169">
        <v>168</v>
      </c>
      <c r="J9" s="162">
        <v>45</v>
      </c>
      <c r="K9" s="169">
        <f t="shared" si="2"/>
        <v>123</v>
      </c>
      <c r="L9" s="162">
        <f t="shared" si="3"/>
        <v>1810</v>
      </c>
      <c r="M9" s="162"/>
    </row>
    <row r="10" spans="1:13" s="108" customFormat="1" ht="12.75">
      <c r="A10" s="127">
        <v>30300</v>
      </c>
      <c r="B10" s="165" t="s">
        <v>325</v>
      </c>
      <c r="C10" s="162">
        <v>391</v>
      </c>
      <c r="D10" s="162">
        <v>344</v>
      </c>
      <c r="E10" s="203">
        <f t="shared" si="0"/>
        <v>0.8797953964194374</v>
      </c>
      <c r="F10" s="162">
        <f t="shared" si="1"/>
        <v>47</v>
      </c>
      <c r="G10" s="162">
        <v>10</v>
      </c>
      <c r="H10" s="162">
        <v>7</v>
      </c>
      <c r="I10" s="169">
        <v>15</v>
      </c>
      <c r="J10" s="162">
        <v>3</v>
      </c>
      <c r="K10" s="169">
        <f t="shared" si="2"/>
        <v>12</v>
      </c>
      <c r="L10" s="162">
        <f t="shared" si="3"/>
        <v>364</v>
      </c>
      <c r="M10" s="162"/>
    </row>
    <row r="11" spans="1:13" s="108" customFormat="1" ht="12.75">
      <c r="A11" s="127">
        <v>30400</v>
      </c>
      <c r="B11" s="165" t="s">
        <v>326</v>
      </c>
      <c r="C11" s="162">
        <v>354</v>
      </c>
      <c r="D11" s="162">
        <v>277</v>
      </c>
      <c r="E11" s="203">
        <f t="shared" si="0"/>
        <v>0.7824858757062146</v>
      </c>
      <c r="F11" s="162">
        <f t="shared" si="1"/>
        <v>77</v>
      </c>
      <c r="G11" s="162">
        <v>10</v>
      </c>
      <c r="H11" s="162">
        <v>5</v>
      </c>
      <c r="I11" s="169">
        <v>44</v>
      </c>
      <c r="J11" s="162">
        <v>5</v>
      </c>
      <c r="K11" s="169">
        <f t="shared" si="2"/>
        <v>39</v>
      </c>
      <c r="L11" s="162">
        <f t="shared" si="3"/>
        <v>297</v>
      </c>
      <c r="M11" s="162"/>
    </row>
    <row r="12" spans="1:13" s="108" customFormat="1" ht="12.75">
      <c r="A12" s="127">
        <v>30500</v>
      </c>
      <c r="B12" s="165" t="s">
        <v>327</v>
      </c>
      <c r="C12" s="162">
        <v>347</v>
      </c>
      <c r="D12" s="162">
        <v>308</v>
      </c>
      <c r="E12" s="203">
        <f t="shared" si="0"/>
        <v>0.8876080691642652</v>
      </c>
      <c r="F12" s="162">
        <f t="shared" si="1"/>
        <v>39</v>
      </c>
      <c r="G12" s="162">
        <v>11</v>
      </c>
      <c r="H12" s="162">
        <v>3</v>
      </c>
      <c r="I12" s="169">
        <v>14</v>
      </c>
      <c r="J12" s="162">
        <v>12</v>
      </c>
      <c r="K12" s="169">
        <f t="shared" si="2"/>
        <v>2</v>
      </c>
      <c r="L12" s="162">
        <f t="shared" si="3"/>
        <v>334</v>
      </c>
      <c r="M12" s="162"/>
    </row>
    <row r="13" spans="1:13" s="108" customFormat="1" ht="12.75">
      <c r="A13" s="127">
        <v>30510</v>
      </c>
      <c r="B13" s="165" t="s">
        <v>315</v>
      </c>
      <c r="C13" s="162">
        <v>107</v>
      </c>
      <c r="D13" s="162">
        <v>93</v>
      </c>
      <c r="E13" s="203">
        <f t="shared" si="0"/>
        <v>0.8691588785046729</v>
      </c>
      <c r="F13" s="162">
        <f t="shared" si="1"/>
        <v>14</v>
      </c>
      <c r="G13" s="162">
        <v>3</v>
      </c>
      <c r="H13" s="162">
        <v>1</v>
      </c>
      <c r="I13" s="169">
        <v>1</v>
      </c>
      <c r="J13" s="162">
        <v>1</v>
      </c>
      <c r="K13" s="169">
        <f t="shared" si="2"/>
        <v>0</v>
      </c>
      <c r="L13" s="162">
        <f t="shared" si="3"/>
        <v>98</v>
      </c>
      <c r="M13" s="162"/>
    </row>
    <row r="14" spans="1:13" s="108" customFormat="1" ht="12.75">
      <c r="A14" s="127">
        <v>20520</v>
      </c>
      <c r="B14" s="165" t="s">
        <v>328</v>
      </c>
      <c r="C14" s="162">
        <v>311</v>
      </c>
      <c r="D14" s="162">
        <v>238</v>
      </c>
      <c r="E14" s="203">
        <f t="shared" si="0"/>
        <v>0.7652733118971061</v>
      </c>
      <c r="F14" s="162">
        <f t="shared" si="1"/>
        <v>73</v>
      </c>
      <c r="G14" s="162">
        <v>12</v>
      </c>
      <c r="H14" s="162">
        <v>7</v>
      </c>
      <c r="I14" s="169">
        <v>45</v>
      </c>
      <c r="J14" s="162">
        <v>7</v>
      </c>
      <c r="K14" s="169">
        <f t="shared" si="2"/>
        <v>38</v>
      </c>
      <c r="L14" s="162">
        <f t="shared" si="3"/>
        <v>264</v>
      </c>
      <c r="M14" s="162"/>
    </row>
    <row r="15" spans="1:13" s="108" customFormat="1" ht="12.75">
      <c r="A15" s="127">
        <v>10200</v>
      </c>
      <c r="B15" s="165" t="s">
        <v>329</v>
      </c>
      <c r="C15" s="162">
        <v>321</v>
      </c>
      <c r="D15" s="162">
        <v>296</v>
      </c>
      <c r="E15" s="203">
        <f t="shared" si="0"/>
        <v>0.9221183800623053</v>
      </c>
      <c r="F15" s="162">
        <f t="shared" si="1"/>
        <v>25</v>
      </c>
      <c r="G15" s="162">
        <v>6</v>
      </c>
      <c r="H15" s="162">
        <v>2</v>
      </c>
      <c r="I15" s="169">
        <f>5+1</f>
        <v>6</v>
      </c>
      <c r="J15" s="162">
        <v>6</v>
      </c>
      <c r="K15" s="169">
        <f t="shared" si="2"/>
        <v>0</v>
      </c>
      <c r="L15" s="162">
        <f t="shared" si="3"/>
        <v>310</v>
      </c>
      <c r="M15" s="162"/>
    </row>
    <row r="16" spans="1:13" s="108" customFormat="1" ht="12.75">
      <c r="A16" s="127">
        <v>31400</v>
      </c>
      <c r="B16" s="165" t="s">
        <v>330</v>
      </c>
      <c r="C16" s="162">
        <v>618</v>
      </c>
      <c r="D16" s="162">
        <v>580</v>
      </c>
      <c r="E16" s="203">
        <f t="shared" si="0"/>
        <v>0.9385113268608414</v>
      </c>
      <c r="F16" s="162">
        <f t="shared" si="1"/>
        <v>38</v>
      </c>
      <c r="G16" s="162">
        <v>14</v>
      </c>
      <c r="H16" s="162">
        <v>7</v>
      </c>
      <c r="I16" s="169">
        <v>7</v>
      </c>
      <c r="J16" s="162">
        <v>5</v>
      </c>
      <c r="K16" s="169">
        <f t="shared" si="2"/>
        <v>2</v>
      </c>
      <c r="L16" s="162">
        <f t="shared" si="3"/>
        <v>606</v>
      </c>
      <c r="M16" s="162"/>
    </row>
    <row r="17" spans="1:13" s="108" customFormat="1" ht="12.75">
      <c r="A17" s="127">
        <v>11100</v>
      </c>
      <c r="B17" s="165" t="s">
        <v>331</v>
      </c>
      <c r="C17" s="162">
        <v>154</v>
      </c>
      <c r="D17" s="162">
        <v>147</v>
      </c>
      <c r="E17" s="203">
        <f t="shared" si="0"/>
        <v>0.9545454545454546</v>
      </c>
      <c r="F17" s="162">
        <f t="shared" si="1"/>
        <v>7</v>
      </c>
      <c r="G17" s="162">
        <v>2</v>
      </c>
      <c r="H17" s="162">
        <v>2</v>
      </c>
      <c r="I17" s="169">
        <v>3</v>
      </c>
      <c r="J17" s="162">
        <v>1</v>
      </c>
      <c r="K17" s="169">
        <f t="shared" si="2"/>
        <v>2</v>
      </c>
      <c r="L17" s="162">
        <f t="shared" si="3"/>
        <v>152</v>
      </c>
      <c r="M17" s="162"/>
    </row>
    <row r="18" spans="1:13" s="108" customFormat="1" ht="12.75">
      <c r="A18" s="127">
        <v>10300</v>
      </c>
      <c r="B18" s="165" t="s">
        <v>332</v>
      </c>
      <c r="C18" s="162">
        <v>967</v>
      </c>
      <c r="D18" s="162">
        <v>806</v>
      </c>
      <c r="E18" s="203">
        <f t="shared" si="0"/>
        <v>0.8335056876938987</v>
      </c>
      <c r="F18" s="162">
        <f t="shared" si="1"/>
        <v>161</v>
      </c>
      <c r="G18" s="162">
        <v>26</v>
      </c>
      <c r="H18" s="162">
        <v>16</v>
      </c>
      <c r="I18" s="169">
        <v>89</v>
      </c>
      <c r="J18" s="162">
        <v>12</v>
      </c>
      <c r="K18" s="169">
        <f t="shared" si="2"/>
        <v>77</v>
      </c>
      <c r="L18" s="162">
        <f t="shared" si="3"/>
        <v>860</v>
      </c>
      <c r="M18" s="162"/>
    </row>
    <row r="19" spans="1:13" s="108" customFormat="1" ht="12.75">
      <c r="A19" s="127">
        <v>30600</v>
      </c>
      <c r="B19" s="165" t="s">
        <v>333</v>
      </c>
      <c r="C19" s="162">
        <v>624</v>
      </c>
      <c r="D19" s="162">
        <v>549</v>
      </c>
      <c r="E19" s="203">
        <f t="shared" si="0"/>
        <v>0.8798076923076923</v>
      </c>
      <c r="F19" s="162">
        <f t="shared" si="1"/>
        <v>75</v>
      </c>
      <c r="G19" s="162">
        <v>30</v>
      </c>
      <c r="H19" s="162">
        <v>10</v>
      </c>
      <c r="I19" s="169">
        <v>25</v>
      </c>
      <c r="J19" s="162">
        <v>19</v>
      </c>
      <c r="K19" s="169">
        <f t="shared" si="2"/>
        <v>6</v>
      </c>
      <c r="L19" s="162">
        <f t="shared" si="3"/>
        <v>608</v>
      </c>
      <c r="M19" s="162"/>
    </row>
    <row r="20" spans="1:13" s="108" customFormat="1" ht="12.75">
      <c r="A20" s="127">
        <v>20410</v>
      </c>
      <c r="B20" s="165" t="s">
        <v>334</v>
      </c>
      <c r="C20" s="162">
        <v>311</v>
      </c>
      <c r="D20" s="162">
        <v>282</v>
      </c>
      <c r="E20" s="203">
        <f t="shared" si="0"/>
        <v>0.9067524115755627</v>
      </c>
      <c r="F20" s="162">
        <f t="shared" si="1"/>
        <v>29</v>
      </c>
      <c r="G20" s="162">
        <v>7</v>
      </c>
      <c r="H20" s="162">
        <v>4</v>
      </c>
      <c r="I20" s="169">
        <f>8+1+1+1</f>
        <v>11</v>
      </c>
      <c r="J20" s="162">
        <v>10</v>
      </c>
      <c r="K20" s="169">
        <f t="shared" si="2"/>
        <v>1</v>
      </c>
      <c r="L20" s="162">
        <f t="shared" si="3"/>
        <v>303</v>
      </c>
      <c r="M20" s="162"/>
    </row>
    <row r="21" spans="1:13" s="108" customFormat="1" ht="12.75">
      <c r="A21" s="127">
        <v>20100</v>
      </c>
      <c r="B21" s="165" t="s">
        <v>335</v>
      </c>
      <c r="C21" s="162">
        <v>667</v>
      </c>
      <c r="D21" s="162">
        <v>616</v>
      </c>
      <c r="E21" s="203">
        <f t="shared" si="0"/>
        <v>0.9235382308845578</v>
      </c>
      <c r="F21" s="162">
        <f t="shared" si="1"/>
        <v>51</v>
      </c>
      <c r="G21" s="162">
        <v>24</v>
      </c>
      <c r="H21" s="162">
        <v>10</v>
      </c>
      <c r="I21" s="169">
        <v>16</v>
      </c>
      <c r="J21" s="162">
        <v>8</v>
      </c>
      <c r="K21" s="169">
        <f t="shared" si="2"/>
        <v>8</v>
      </c>
      <c r="L21" s="162">
        <f t="shared" si="3"/>
        <v>658</v>
      </c>
      <c r="M21" s="162"/>
    </row>
    <row r="22" spans="1:13" s="108" customFormat="1" ht="12.75">
      <c r="A22" s="127">
        <v>20200</v>
      </c>
      <c r="B22" s="165" t="s">
        <v>336</v>
      </c>
      <c r="C22" s="162">
        <v>847</v>
      </c>
      <c r="D22" s="162">
        <v>698</v>
      </c>
      <c r="E22" s="203">
        <f t="shared" si="0"/>
        <v>0.8240850059031877</v>
      </c>
      <c r="F22" s="162">
        <f t="shared" si="1"/>
        <v>149</v>
      </c>
      <c r="G22" s="162">
        <v>67</v>
      </c>
      <c r="H22" s="162">
        <v>19</v>
      </c>
      <c r="I22" s="169">
        <v>77</v>
      </c>
      <c r="J22" s="162">
        <v>24</v>
      </c>
      <c r="K22" s="169">
        <f t="shared" si="2"/>
        <v>53</v>
      </c>
      <c r="L22" s="162">
        <f t="shared" si="3"/>
        <v>808</v>
      </c>
      <c r="M22" s="162"/>
    </row>
    <row r="23" spans="1:13" s="108" customFormat="1" ht="12.75">
      <c r="A23" s="127">
        <v>20300</v>
      </c>
      <c r="B23" s="165" t="s">
        <v>337</v>
      </c>
      <c r="C23" s="162">
        <v>176</v>
      </c>
      <c r="D23" s="162">
        <v>154</v>
      </c>
      <c r="E23" s="203">
        <f t="shared" si="0"/>
        <v>0.875</v>
      </c>
      <c r="F23" s="162">
        <f t="shared" si="1"/>
        <v>22</v>
      </c>
      <c r="G23" s="162">
        <v>5</v>
      </c>
      <c r="H23" s="162">
        <v>1</v>
      </c>
      <c r="I23" s="169">
        <v>10</v>
      </c>
      <c r="J23" s="162">
        <v>7</v>
      </c>
      <c r="K23" s="169">
        <f t="shared" si="2"/>
        <v>3</v>
      </c>
      <c r="L23" s="162">
        <f t="shared" si="3"/>
        <v>167</v>
      </c>
      <c r="M23" s="162"/>
    </row>
    <row r="24" spans="1:13" s="108" customFormat="1" ht="12.75">
      <c r="A24" s="127">
        <v>20400</v>
      </c>
      <c r="B24" s="165" t="s">
        <v>338</v>
      </c>
      <c r="C24" s="162">
        <v>623</v>
      </c>
      <c r="D24" s="162">
        <v>552</v>
      </c>
      <c r="E24" s="203">
        <f t="shared" si="0"/>
        <v>0.8860353130016051</v>
      </c>
      <c r="F24" s="162">
        <f t="shared" si="1"/>
        <v>71</v>
      </c>
      <c r="G24" s="162">
        <v>32</v>
      </c>
      <c r="H24" s="162">
        <v>11</v>
      </c>
      <c r="I24" s="169">
        <v>23</v>
      </c>
      <c r="J24" s="162">
        <v>9</v>
      </c>
      <c r="K24" s="169">
        <f t="shared" si="2"/>
        <v>14</v>
      </c>
      <c r="L24" s="162">
        <f t="shared" si="3"/>
        <v>604</v>
      </c>
      <c r="M24" s="162"/>
    </row>
    <row r="25" spans="1:13" s="108" customFormat="1" ht="12.75">
      <c r="A25" s="127">
        <v>30700</v>
      </c>
      <c r="B25" s="165" t="s">
        <v>339</v>
      </c>
      <c r="C25" s="162">
        <v>54</v>
      </c>
      <c r="D25" s="162">
        <v>52</v>
      </c>
      <c r="E25" s="203">
        <f t="shared" si="0"/>
        <v>0.9629629629629629</v>
      </c>
      <c r="F25" s="162">
        <f t="shared" si="1"/>
        <v>2</v>
      </c>
      <c r="G25" s="162">
        <v>0</v>
      </c>
      <c r="H25" s="162">
        <v>0</v>
      </c>
      <c r="I25" s="169">
        <v>1</v>
      </c>
      <c r="J25" s="162">
        <v>0</v>
      </c>
      <c r="K25" s="169">
        <f t="shared" si="2"/>
        <v>1</v>
      </c>
      <c r="L25" s="162">
        <f t="shared" si="3"/>
        <v>52</v>
      </c>
      <c r="M25" s="162"/>
    </row>
    <row r="26" spans="1:13" s="146" customFormat="1" ht="12.75">
      <c r="A26" s="127">
        <v>20530</v>
      </c>
      <c r="B26" s="165" t="s">
        <v>340</v>
      </c>
      <c r="C26" s="162">
        <v>406</v>
      </c>
      <c r="D26" s="162">
        <v>389</v>
      </c>
      <c r="E26" s="203">
        <f t="shared" si="0"/>
        <v>0.958128078817734</v>
      </c>
      <c r="F26" s="162">
        <f t="shared" si="1"/>
        <v>17</v>
      </c>
      <c r="G26" s="162">
        <v>11</v>
      </c>
      <c r="H26" s="162">
        <v>1</v>
      </c>
      <c r="I26" s="169">
        <v>4</v>
      </c>
      <c r="J26" s="162">
        <v>4</v>
      </c>
      <c r="K26" s="169">
        <f t="shared" si="2"/>
        <v>0</v>
      </c>
      <c r="L26" s="162">
        <f t="shared" si="3"/>
        <v>405</v>
      </c>
      <c r="M26" s="162"/>
    </row>
    <row r="27" spans="1:13" s="108" customFormat="1" ht="12.75">
      <c r="A27" s="127">
        <v>10400</v>
      </c>
      <c r="B27" s="165" t="s">
        <v>341</v>
      </c>
      <c r="C27" s="162">
        <v>266</v>
      </c>
      <c r="D27" s="162">
        <v>243</v>
      </c>
      <c r="E27" s="203">
        <f t="shared" si="0"/>
        <v>0.9135338345864662</v>
      </c>
      <c r="F27" s="162">
        <f t="shared" si="1"/>
        <v>23</v>
      </c>
      <c r="G27" s="162">
        <v>7</v>
      </c>
      <c r="H27" s="162">
        <v>3</v>
      </c>
      <c r="I27" s="169">
        <v>5</v>
      </c>
      <c r="J27" s="162">
        <v>5</v>
      </c>
      <c r="K27" s="169">
        <f t="shared" si="2"/>
        <v>0</v>
      </c>
      <c r="L27" s="162">
        <f t="shared" si="3"/>
        <v>258</v>
      </c>
      <c r="M27" s="162"/>
    </row>
    <row r="28" spans="1:13" s="108" customFormat="1" ht="12.75">
      <c r="A28" s="127">
        <v>10500</v>
      </c>
      <c r="B28" s="165" t="s">
        <v>342</v>
      </c>
      <c r="C28" s="162">
        <v>305</v>
      </c>
      <c r="D28" s="162">
        <v>266</v>
      </c>
      <c r="E28" s="203">
        <f t="shared" si="0"/>
        <v>0.8721311475409836</v>
      </c>
      <c r="F28" s="162">
        <f t="shared" si="1"/>
        <v>39</v>
      </c>
      <c r="G28" s="162">
        <v>15</v>
      </c>
      <c r="H28" s="162">
        <v>2</v>
      </c>
      <c r="I28" s="169">
        <v>19</v>
      </c>
      <c r="J28" s="162">
        <v>3</v>
      </c>
      <c r="K28" s="169">
        <f t="shared" si="2"/>
        <v>16</v>
      </c>
      <c r="L28" s="162">
        <f t="shared" si="3"/>
        <v>286</v>
      </c>
      <c r="M28" s="162"/>
    </row>
    <row r="29" spans="1:13" s="108" customFormat="1" ht="12.75">
      <c r="A29" s="127">
        <v>10600</v>
      </c>
      <c r="B29" s="165" t="s">
        <v>343</v>
      </c>
      <c r="C29" s="162">
        <v>772</v>
      </c>
      <c r="D29" s="162">
        <v>663</v>
      </c>
      <c r="E29" s="203">
        <f t="shared" si="0"/>
        <v>0.8588082901554405</v>
      </c>
      <c r="F29" s="162">
        <f t="shared" si="1"/>
        <v>109</v>
      </c>
      <c r="G29" s="162">
        <v>41</v>
      </c>
      <c r="H29" s="162">
        <v>12</v>
      </c>
      <c r="I29" s="169">
        <v>31</v>
      </c>
      <c r="J29" s="162">
        <v>13</v>
      </c>
      <c r="K29" s="169">
        <f t="shared" si="2"/>
        <v>18</v>
      </c>
      <c r="L29" s="162">
        <f t="shared" si="3"/>
        <v>729</v>
      </c>
      <c r="M29" s="162"/>
    </row>
    <row r="30" spans="1:13" s="108" customFormat="1" ht="12.75">
      <c r="A30" s="127">
        <v>30800</v>
      </c>
      <c r="B30" s="165" t="s">
        <v>344</v>
      </c>
      <c r="C30" s="162">
        <v>105</v>
      </c>
      <c r="D30" s="162">
        <v>92</v>
      </c>
      <c r="E30" s="203">
        <f t="shared" si="0"/>
        <v>0.8761904761904762</v>
      </c>
      <c r="F30" s="162">
        <f t="shared" si="1"/>
        <v>13</v>
      </c>
      <c r="G30" s="162">
        <v>0</v>
      </c>
      <c r="H30" s="162">
        <v>1</v>
      </c>
      <c r="I30" s="169">
        <v>3</v>
      </c>
      <c r="J30" s="162">
        <v>1</v>
      </c>
      <c r="K30" s="169">
        <f t="shared" si="2"/>
        <v>2</v>
      </c>
      <c r="L30" s="162">
        <f t="shared" si="3"/>
        <v>94</v>
      </c>
      <c r="M30" s="162"/>
    </row>
    <row r="31" spans="1:13" s="108" customFormat="1" ht="12.75">
      <c r="A31" s="127">
        <v>30900</v>
      </c>
      <c r="B31" s="165" t="s">
        <v>345</v>
      </c>
      <c r="C31" s="162">
        <v>1590</v>
      </c>
      <c r="D31" s="162">
        <v>1394</v>
      </c>
      <c r="E31" s="203">
        <f t="shared" si="0"/>
        <v>0.8767295597484277</v>
      </c>
      <c r="F31" s="162">
        <f t="shared" si="1"/>
        <v>196</v>
      </c>
      <c r="G31" s="162">
        <v>57</v>
      </c>
      <c r="H31" s="162">
        <v>27</v>
      </c>
      <c r="I31" s="169">
        <v>74</v>
      </c>
      <c r="J31" s="162">
        <v>24</v>
      </c>
      <c r="K31" s="169">
        <f t="shared" si="2"/>
        <v>50</v>
      </c>
      <c r="L31" s="162">
        <f t="shared" si="3"/>
        <v>1502</v>
      </c>
      <c r="M31" s="162"/>
    </row>
    <row r="32" spans="1:13" s="108" customFormat="1" ht="12.75">
      <c r="A32" s="127">
        <v>10700</v>
      </c>
      <c r="B32" s="165" t="s">
        <v>346</v>
      </c>
      <c r="C32" s="162">
        <v>539</v>
      </c>
      <c r="D32" s="162">
        <v>478</v>
      </c>
      <c r="E32" s="203">
        <f t="shared" si="0"/>
        <v>0.8868274582560297</v>
      </c>
      <c r="F32" s="162">
        <f t="shared" si="1"/>
        <v>61</v>
      </c>
      <c r="G32" s="162">
        <v>15</v>
      </c>
      <c r="H32" s="162">
        <v>13</v>
      </c>
      <c r="I32" s="169">
        <v>30</v>
      </c>
      <c r="J32" s="162">
        <v>6</v>
      </c>
      <c r="K32" s="169">
        <f t="shared" si="2"/>
        <v>24</v>
      </c>
      <c r="L32" s="162">
        <f t="shared" si="3"/>
        <v>512</v>
      </c>
      <c r="M32" s="162"/>
    </row>
    <row r="33" spans="1:13" s="108" customFormat="1" ht="12.75">
      <c r="A33" s="127">
        <v>20600</v>
      </c>
      <c r="B33" s="165" t="s">
        <v>347</v>
      </c>
      <c r="C33" s="162">
        <v>142</v>
      </c>
      <c r="D33" s="162">
        <v>115</v>
      </c>
      <c r="E33" s="203">
        <f t="shared" si="0"/>
        <v>0.8098591549295775</v>
      </c>
      <c r="F33" s="162">
        <f t="shared" si="1"/>
        <v>27</v>
      </c>
      <c r="G33" s="162">
        <v>3</v>
      </c>
      <c r="H33" s="162">
        <v>4</v>
      </c>
      <c r="I33" s="169">
        <v>12</v>
      </c>
      <c r="J33" s="162">
        <v>4</v>
      </c>
      <c r="K33" s="169">
        <f t="shared" si="2"/>
        <v>8</v>
      </c>
      <c r="L33" s="162">
        <f t="shared" si="3"/>
        <v>126</v>
      </c>
      <c r="M33" s="162"/>
    </row>
    <row r="34" spans="1:13" s="108" customFormat="1" ht="12.75">
      <c r="A34" s="127">
        <v>10800</v>
      </c>
      <c r="B34" s="165" t="s">
        <v>348</v>
      </c>
      <c r="C34" s="162">
        <v>253</v>
      </c>
      <c r="D34" s="162">
        <v>225</v>
      </c>
      <c r="E34" s="203">
        <f t="shared" si="0"/>
        <v>0.8893280632411067</v>
      </c>
      <c r="F34" s="162">
        <f t="shared" si="1"/>
        <v>28</v>
      </c>
      <c r="G34" s="162">
        <v>24</v>
      </c>
      <c r="H34" s="162">
        <v>6</v>
      </c>
      <c r="I34" s="169">
        <v>15</v>
      </c>
      <c r="J34" s="162">
        <v>8</v>
      </c>
      <c r="K34" s="169">
        <f t="shared" si="2"/>
        <v>7</v>
      </c>
      <c r="L34" s="162">
        <f t="shared" si="3"/>
        <v>263</v>
      </c>
      <c r="M34" s="162"/>
    </row>
    <row r="35" spans="1:13" s="108" customFormat="1" ht="12.75">
      <c r="A35" s="127">
        <v>31000</v>
      </c>
      <c r="B35" s="165" t="s">
        <v>349</v>
      </c>
      <c r="C35" s="162">
        <v>406</v>
      </c>
      <c r="D35" s="162">
        <v>351</v>
      </c>
      <c r="E35" s="203">
        <f t="shared" si="0"/>
        <v>0.8645320197044335</v>
      </c>
      <c r="F35" s="162">
        <f t="shared" si="1"/>
        <v>55</v>
      </c>
      <c r="G35" s="162">
        <v>14</v>
      </c>
      <c r="H35" s="162">
        <v>10</v>
      </c>
      <c r="I35" s="169">
        <v>14</v>
      </c>
      <c r="J35" s="162">
        <v>7</v>
      </c>
      <c r="K35" s="169">
        <f t="shared" si="2"/>
        <v>7</v>
      </c>
      <c r="L35" s="162">
        <f t="shared" si="3"/>
        <v>382</v>
      </c>
      <c r="M35" s="162"/>
    </row>
    <row r="36" spans="1:13" s="108" customFormat="1" ht="12.75">
      <c r="A36" s="127">
        <v>31100</v>
      </c>
      <c r="B36" s="165" t="s">
        <v>350</v>
      </c>
      <c r="C36" s="162">
        <v>284</v>
      </c>
      <c r="D36" s="162">
        <v>228</v>
      </c>
      <c r="E36" s="203">
        <f t="shared" si="0"/>
        <v>0.8028169014084507</v>
      </c>
      <c r="F36" s="162">
        <f t="shared" si="1"/>
        <v>56</v>
      </c>
      <c r="G36" s="162">
        <v>10</v>
      </c>
      <c r="H36" s="162">
        <v>5</v>
      </c>
      <c r="I36" s="169">
        <v>16</v>
      </c>
      <c r="J36" s="162">
        <v>7</v>
      </c>
      <c r="K36" s="169">
        <f t="shared" si="2"/>
        <v>9</v>
      </c>
      <c r="L36" s="162">
        <f t="shared" si="3"/>
        <v>250</v>
      </c>
      <c r="M36" s="162"/>
    </row>
    <row r="37" spans="1:13" s="108" customFormat="1" ht="12.75">
      <c r="A37" s="127">
        <v>31200</v>
      </c>
      <c r="B37" s="165" t="s">
        <v>351</v>
      </c>
      <c r="C37" s="162">
        <v>457</v>
      </c>
      <c r="D37" s="162">
        <v>433</v>
      </c>
      <c r="E37" s="203">
        <f t="shared" si="0"/>
        <v>0.9474835886214442</v>
      </c>
      <c r="F37" s="162">
        <f t="shared" si="1"/>
        <v>24</v>
      </c>
      <c r="G37" s="162">
        <v>16</v>
      </c>
      <c r="H37" s="162">
        <v>5</v>
      </c>
      <c r="I37" s="169">
        <v>7</v>
      </c>
      <c r="J37" s="162">
        <v>7</v>
      </c>
      <c r="K37" s="169">
        <f t="shared" si="2"/>
        <v>0</v>
      </c>
      <c r="L37" s="162">
        <f t="shared" si="3"/>
        <v>461</v>
      </c>
      <c r="M37" s="162"/>
    </row>
    <row r="38" spans="1:13" s="108" customFormat="1" ht="12.75">
      <c r="A38" s="127">
        <v>20601</v>
      </c>
      <c r="B38" s="165" t="s">
        <v>352</v>
      </c>
      <c r="C38" s="162">
        <v>55</v>
      </c>
      <c r="D38" s="162">
        <v>25</v>
      </c>
      <c r="E38" s="203">
        <f t="shared" si="0"/>
        <v>0.45454545454545453</v>
      </c>
      <c r="F38" s="162">
        <f t="shared" si="1"/>
        <v>30</v>
      </c>
      <c r="G38" s="162">
        <v>2</v>
      </c>
      <c r="H38" s="162">
        <v>1</v>
      </c>
      <c r="I38" s="169">
        <v>19</v>
      </c>
      <c r="J38" s="162">
        <v>1</v>
      </c>
      <c r="K38" s="169">
        <f t="shared" si="2"/>
        <v>18</v>
      </c>
      <c r="L38" s="162">
        <f t="shared" si="3"/>
        <v>29</v>
      </c>
      <c r="M38" s="162"/>
    </row>
    <row r="39" spans="1:13" s="108" customFormat="1" ht="12.75">
      <c r="A39" s="127">
        <v>31300</v>
      </c>
      <c r="B39" s="165" t="s">
        <v>353</v>
      </c>
      <c r="C39" s="162">
        <v>288</v>
      </c>
      <c r="D39" s="162">
        <v>234</v>
      </c>
      <c r="E39" s="203">
        <f t="shared" si="0"/>
        <v>0.8125</v>
      </c>
      <c r="F39" s="162">
        <f t="shared" si="1"/>
        <v>54</v>
      </c>
      <c r="G39" s="162">
        <v>15</v>
      </c>
      <c r="H39" s="162">
        <v>7</v>
      </c>
      <c r="I39" s="169">
        <v>20</v>
      </c>
      <c r="J39" s="162">
        <v>6</v>
      </c>
      <c r="K39" s="169">
        <f t="shared" si="2"/>
        <v>14</v>
      </c>
      <c r="L39" s="162">
        <f t="shared" si="3"/>
        <v>262</v>
      </c>
      <c r="M39" s="162"/>
    </row>
    <row r="40" spans="1:13" s="108" customFormat="1" ht="12.75">
      <c r="A40" s="127">
        <v>11110</v>
      </c>
      <c r="B40" s="165" t="s">
        <v>354</v>
      </c>
      <c r="C40" s="162">
        <v>151</v>
      </c>
      <c r="D40" s="162">
        <v>122</v>
      </c>
      <c r="E40" s="203">
        <f t="shared" si="0"/>
        <v>0.8079470198675497</v>
      </c>
      <c r="F40" s="162">
        <f t="shared" si="1"/>
        <v>29</v>
      </c>
      <c r="G40" s="162">
        <v>5</v>
      </c>
      <c r="H40" s="162">
        <v>1</v>
      </c>
      <c r="I40" s="169">
        <v>20</v>
      </c>
      <c r="J40" s="162">
        <v>3</v>
      </c>
      <c r="K40" s="169">
        <f t="shared" si="2"/>
        <v>17</v>
      </c>
      <c r="L40" s="162">
        <f t="shared" si="3"/>
        <v>131</v>
      </c>
      <c r="M40" s="162"/>
    </row>
    <row r="41" spans="1:13" s="108" customFormat="1" ht="12.75">
      <c r="A41" s="127">
        <v>31500</v>
      </c>
      <c r="B41" s="165" t="s">
        <v>355</v>
      </c>
      <c r="C41" s="162">
        <v>1839</v>
      </c>
      <c r="D41" s="162">
        <v>1659</v>
      </c>
      <c r="E41" s="203">
        <f t="shared" si="0"/>
        <v>0.9021207177814029</v>
      </c>
      <c r="F41" s="162">
        <f t="shared" si="1"/>
        <v>180</v>
      </c>
      <c r="G41" s="162">
        <v>139</v>
      </c>
      <c r="H41" s="162">
        <v>29</v>
      </c>
      <c r="I41" s="169">
        <v>55</v>
      </c>
      <c r="J41" s="162">
        <v>37</v>
      </c>
      <c r="K41" s="169">
        <f t="shared" si="2"/>
        <v>18</v>
      </c>
      <c r="L41" s="162">
        <f t="shared" si="3"/>
        <v>1864</v>
      </c>
      <c r="M41" s="162"/>
    </row>
    <row r="42" spans="1:13" s="108" customFormat="1" ht="12.75">
      <c r="A42" s="127">
        <v>20700</v>
      </c>
      <c r="B42" s="165" t="s">
        <v>356</v>
      </c>
      <c r="C42" s="162">
        <v>212</v>
      </c>
      <c r="D42" s="162">
        <v>193</v>
      </c>
      <c r="E42" s="203">
        <f t="shared" si="0"/>
        <v>0.910377358490566</v>
      </c>
      <c r="F42" s="162">
        <f t="shared" si="1"/>
        <v>19</v>
      </c>
      <c r="G42" s="162">
        <v>5</v>
      </c>
      <c r="H42" s="162">
        <v>5</v>
      </c>
      <c r="I42" s="169">
        <f>1+1</f>
        <v>2</v>
      </c>
      <c r="J42" s="162">
        <v>2</v>
      </c>
      <c r="K42" s="169">
        <f t="shared" si="2"/>
        <v>0</v>
      </c>
      <c r="L42" s="162">
        <f t="shared" si="3"/>
        <v>205</v>
      </c>
      <c r="M42" s="162"/>
    </row>
    <row r="43" spans="1:13" s="108" customFormat="1" ht="12.75">
      <c r="A43" s="127">
        <v>10900</v>
      </c>
      <c r="B43" s="165" t="s">
        <v>357</v>
      </c>
      <c r="C43" s="162">
        <v>224</v>
      </c>
      <c r="D43" s="162">
        <v>190</v>
      </c>
      <c r="E43" s="203">
        <f t="shared" si="0"/>
        <v>0.8482142857142857</v>
      </c>
      <c r="F43" s="162">
        <f t="shared" si="1"/>
        <v>34</v>
      </c>
      <c r="G43" s="162">
        <v>6</v>
      </c>
      <c r="H43" s="162">
        <v>4</v>
      </c>
      <c r="I43" s="169">
        <v>24</v>
      </c>
      <c r="J43" s="162">
        <v>2</v>
      </c>
      <c r="K43" s="169">
        <f t="shared" si="2"/>
        <v>22</v>
      </c>
      <c r="L43" s="162">
        <f t="shared" si="3"/>
        <v>202</v>
      </c>
      <c r="M43" s="162"/>
    </row>
    <row r="44" spans="1:13" s="108" customFormat="1" ht="12.75">
      <c r="A44" s="127">
        <v>11000</v>
      </c>
      <c r="B44" s="165" t="s">
        <v>358</v>
      </c>
      <c r="C44" s="162">
        <v>366</v>
      </c>
      <c r="D44" s="162">
        <v>313</v>
      </c>
      <c r="E44" s="203">
        <f t="shared" si="0"/>
        <v>0.855191256830601</v>
      </c>
      <c r="F44" s="162">
        <f t="shared" si="1"/>
        <v>53</v>
      </c>
      <c r="G44" s="162">
        <v>16</v>
      </c>
      <c r="H44" s="162">
        <v>6</v>
      </c>
      <c r="I44" s="169">
        <v>20</v>
      </c>
      <c r="J44" s="162">
        <v>12</v>
      </c>
      <c r="K44" s="169">
        <f t="shared" si="2"/>
        <v>8</v>
      </c>
      <c r="L44" s="162">
        <f t="shared" si="3"/>
        <v>347</v>
      </c>
      <c r="M44" s="162"/>
    </row>
    <row r="45" spans="1:13" s="108" customFormat="1" ht="12.75">
      <c r="A45" s="67"/>
      <c r="B45" s="25"/>
      <c r="C45" s="130" t="s">
        <v>16</v>
      </c>
      <c r="D45" s="130" t="s">
        <v>16</v>
      </c>
      <c r="E45" s="128" t="s">
        <v>95</v>
      </c>
      <c r="F45" s="130" t="s">
        <v>16</v>
      </c>
      <c r="G45" s="130" t="s">
        <v>16</v>
      </c>
      <c r="H45" s="131" t="s">
        <v>94</v>
      </c>
      <c r="I45" s="130" t="s">
        <v>17</v>
      </c>
      <c r="J45" s="130" t="s">
        <v>16</v>
      </c>
      <c r="K45" s="130" t="s">
        <v>16</v>
      </c>
      <c r="L45" s="130" t="s">
        <v>16</v>
      </c>
      <c r="M45" s="162"/>
    </row>
    <row r="46" spans="2:13" ht="12.75">
      <c r="B46" s="43" t="s">
        <v>138</v>
      </c>
      <c r="C46" s="119">
        <f>SUM(C5:C44)</f>
        <v>19878</v>
      </c>
      <c r="D46" s="119">
        <f>SUM(D5:D44)</f>
        <v>17417</v>
      </c>
      <c r="E46" s="133">
        <f>D46/C46</f>
        <v>0.8761947882080692</v>
      </c>
      <c r="F46" s="119">
        <f aca="true" t="shared" si="4" ref="F46:K46">SUM(F5:F44)</f>
        <v>2461</v>
      </c>
      <c r="G46" s="119">
        <f t="shared" si="4"/>
        <v>843</v>
      </c>
      <c r="H46" s="132">
        <f>SUM(H5:H44)</f>
        <v>314</v>
      </c>
      <c r="I46" s="119">
        <f>SUM(I5:I44)</f>
        <v>1013</v>
      </c>
      <c r="J46" s="119">
        <f t="shared" si="4"/>
        <v>367</v>
      </c>
      <c r="K46" s="119">
        <f t="shared" si="4"/>
        <v>646</v>
      </c>
      <c r="L46" s="119">
        <f>SUM(L5:L44)</f>
        <v>18941</v>
      </c>
      <c r="M46" s="162"/>
    </row>
    <row r="47" spans="2:13" ht="12">
      <c r="B47" s="43"/>
      <c r="C47" s="25" t="s">
        <v>34</v>
      </c>
      <c r="D47" s="66" t="s">
        <v>34</v>
      </c>
      <c r="F47" s="25" t="s">
        <v>34</v>
      </c>
      <c r="G47" s="66" t="s">
        <v>34</v>
      </c>
      <c r="K47" s="25" t="s">
        <v>34</v>
      </c>
      <c r="L47" s="25"/>
      <c r="M47" s="25"/>
    </row>
    <row r="48" spans="2:13" ht="12">
      <c r="B48" s="53"/>
      <c r="C48" s="25" t="s">
        <v>34</v>
      </c>
      <c r="K48" s="25" t="s">
        <v>34</v>
      </c>
      <c r="L48" s="25"/>
      <c r="M48" s="25"/>
    </row>
    <row r="49" spans="2:6" ht="12">
      <c r="B49" s="53"/>
      <c r="C49" s="79"/>
      <c r="D49" s="92" t="s">
        <v>622</v>
      </c>
      <c r="F49" s="66" t="s">
        <v>34</v>
      </c>
    </row>
    <row r="50" spans="2:7" ht="12">
      <c r="B50" s="53"/>
      <c r="C50" s="53"/>
      <c r="D50" s="53"/>
      <c r="G50" s="205"/>
    </row>
    <row r="51" spans="2:8" ht="12.75">
      <c r="B51" s="91" t="s">
        <v>18</v>
      </c>
      <c r="C51" s="53"/>
      <c r="D51" s="195">
        <f>C46</f>
        <v>19878</v>
      </c>
      <c r="E51" s="53"/>
      <c r="H51" s="134"/>
    </row>
    <row r="52" spans="2:10" ht="12.75">
      <c r="B52" s="75" t="s">
        <v>623</v>
      </c>
      <c r="C52" s="79"/>
      <c r="D52" s="195">
        <f>L46-SUM(D56:D57)-D53</f>
        <v>17417</v>
      </c>
      <c r="E52" s="79"/>
      <c r="F52" s="66" t="s">
        <v>34</v>
      </c>
      <c r="G52" s="66"/>
      <c r="H52" s="134" t="s">
        <v>34</v>
      </c>
      <c r="J52" s="66" t="s">
        <v>34</v>
      </c>
    </row>
    <row r="53" spans="2:8" ht="12.75">
      <c r="B53" s="93" t="s">
        <v>19</v>
      </c>
      <c r="C53" s="53"/>
      <c r="D53" s="195">
        <f>H46</f>
        <v>314</v>
      </c>
      <c r="E53" s="53"/>
      <c r="H53" s="134"/>
    </row>
    <row r="54" spans="2:8" ht="12.75">
      <c r="B54" s="93" t="s">
        <v>20</v>
      </c>
      <c r="C54" s="53"/>
      <c r="D54" s="196">
        <f>D52/D51</f>
        <v>0.8761947882080692</v>
      </c>
      <c r="E54" s="53"/>
      <c r="H54" s="134"/>
    </row>
    <row r="55" spans="2:8" ht="12.75">
      <c r="B55" s="53"/>
      <c r="C55" s="53"/>
      <c r="D55" s="136"/>
      <c r="E55" s="53"/>
      <c r="F55" s="66" t="s">
        <v>34</v>
      </c>
      <c r="H55" s="77"/>
    </row>
    <row r="56" spans="2:8" ht="12.75">
      <c r="B56" s="53" t="s">
        <v>22</v>
      </c>
      <c r="C56" s="53"/>
      <c r="D56" s="195">
        <f>G46</f>
        <v>843</v>
      </c>
      <c r="E56" s="53"/>
      <c r="H56" s="134"/>
    </row>
    <row r="57" spans="2:8" ht="12.75">
      <c r="B57" s="53" t="s">
        <v>23</v>
      </c>
      <c r="C57" s="53"/>
      <c r="D57" s="195">
        <f>J46</f>
        <v>367</v>
      </c>
      <c r="E57" s="53"/>
      <c r="H57" s="134"/>
    </row>
    <row r="58" spans="2:8" ht="12.75">
      <c r="B58" s="53"/>
      <c r="C58" s="53"/>
      <c r="D58" s="136"/>
      <c r="E58" s="53"/>
      <c r="H58" s="80"/>
    </row>
    <row r="59" spans="2:8" ht="12.75">
      <c r="B59" s="194" t="s">
        <v>139</v>
      </c>
      <c r="C59" s="53"/>
      <c r="D59" s="195">
        <f>D52+D53+D56+D57</f>
        <v>18941</v>
      </c>
      <c r="E59" s="53"/>
      <c r="H59" s="134"/>
    </row>
    <row r="60" spans="2:8" ht="12.75">
      <c r="B60" s="194"/>
      <c r="C60" s="53"/>
      <c r="D60" s="195"/>
      <c r="E60" s="53"/>
      <c r="H60" s="134"/>
    </row>
    <row r="61" spans="2:4" ht="12">
      <c r="B61" s="81"/>
      <c r="D61" s="66"/>
    </row>
    <row r="62" spans="2:4" ht="15">
      <c r="B62" s="211" t="s">
        <v>668</v>
      </c>
      <c r="D62" s="66"/>
    </row>
    <row r="63" ht="12" customHeight="1"/>
    <row r="64" ht="12" customHeight="1">
      <c r="B64" s="211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printOptions gridLines="1" horizontalCentered="1"/>
  <pageMargins left="0.25" right="0.26" top="0.65" bottom="0.32" header="0.38" footer="0.16"/>
  <pageSetup horizontalDpi="300" verticalDpi="300" orientation="portrait" scale="73" r:id="rId1"/>
  <headerFooter alignWithMargins="0">
    <oddHeader>&amp;C&amp;12Month Ending June 30, 2010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 topLeftCell="A1">
      <selection activeCell="I51" sqref="I51"/>
    </sheetView>
  </sheetViews>
  <sheetFormatPr defaultColWidth="9.140625" defaultRowHeight="12.75"/>
  <cols>
    <col min="1" max="1" width="8.7109375" style="67" customWidth="1"/>
    <col min="2" max="2" width="29.140625" style="25" customWidth="1"/>
    <col min="3" max="3" width="8.57421875" style="25" customWidth="1"/>
    <col min="4" max="4" width="9.8515625" style="25" customWidth="1"/>
    <col min="5" max="6" width="9.421875" style="25" customWidth="1"/>
    <col min="7" max="8" width="9.57421875" style="25" customWidth="1"/>
    <col min="9" max="9" width="9.421875" style="25" customWidth="1"/>
    <col min="10" max="10" width="6.57421875" style="25" customWidth="1"/>
    <col min="11" max="11" width="7.421875" style="25" customWidth="1"/>
    <col min="12" max="13" width="11.57421875" style="74" customWidth="1"/>
    <col min="14" max="16384" width="9.140625" style="25" customWidth="1"/>
  </cols>
  <sheetData>
    <row r="1" spans="1:13" s="67" customFormat="1" ht="12">
      <c r="A1" s="86" t="s">
        <v>693</v>
      </c>
      <c r="C1" s="67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  <c r="M1" s="69"/>
    </row>
    <row r="2" spans="1:13" s="68" customFormat="1" ht="51">
      <c r="A2" s="71" t="s">
        <v>191</v>
      </c>
      <c r="B2" s="71" t="s">
        <v>190</v>
      </c>
      <c r="C2" s="72" t="s">
        <v>509</v>
      </c>
      <c r="D2" s="73" t="s">
        <v>305</v>
      </c>
      <c r="E2" s="73" t="s">
        <v>186</v>
      </c>
      <c r="F2" s="73" t="s">
        <v>187</v>
      </c>
      <c r="G2" s="73" t="s">
        <v>306</v>
      </c>
      <c r="H2" s="72" t="s">
        <v>621</v>
      </c>
      <c r="I2" s="72" t="s">
        <v>510</v>
      </c>
      <c r="J2" s="72" t="s">
        <v>188</v>
      </c>
      <c r="K2" s="72" t="s">
        <v>189</v>
      </c>
      <c r="L2" s="210" t="s">
        <v>667</v>
      </c>
      <c r="M2" s="73"/>
    </row>
    <row r="3" spans="2:13" ht="12">
      <c r="B3" s="53"/>
      <c r="C3" s="53"/>
      <c r="D3" s="53"/>
      <c r="E3" s="53"/>
      <c r="F3" s="53"/>
      <c r="G3" s="53"/>
      <c r="H3" s="53"/>
      <c r="I3" s="53"/>
      <c r="J3" s="53"/>
      <c r="K3" s="87"/>
      <c r="L3" s="53"/>
      <c r="M3" s="53"/>
    </row>
    <row r="4" spans="1:13" ht="12">
      <c r="A4" s="88" t="s">
        <v>167</v>
      </c>
      <c r="C4" s="53"/>
      <c r="D4" s="53"/>
      <c r="E4" s="53"/>
      <c r="F4" s="53"/>
      <c r="G4" s="53"/>
      <c r="H4" s="53"/>
      <c r="I4" s="53"/>
      <c r="J4" s="53"/>
      <c r="K4" s="87"/>
      <c r="L4" s="53"/>
      <c r="M4" s="53"/>
    </row>
    <row r="5" spans="2:13" ht="12.75">
      <c r="B5" s="53"/>
      <c r="C5" s="177" t="s">
        <v>34</v>
      </c>
      <c r="D5" s="177" t="s">
        <v>34</v>
      </c>
      <c r="E5" s="178" t="s">
        <v>34</v>
      </c>
      <c r="F5" s="177" t="s">
        <v>34</v>
      </c>
      <c r="G5" s="177" t="s">
        <v>34</v>
      </c>
      <c r="H5" s="177" t="s">
        <v>34</v>
      </c>
      <c r="I5" s="177" t="s">
        <v>34</v>
      </c>
      <c r="J5" s="177" t="s">
        <v>34</v>
      </c>
      <c r="K5" s="177" t="s">
        <v>34</v>
      </c>
      <c r="L5" s="179" t="s">
        <v>34</v>
      </c>
      <c r="M5" s="179"/>
    </row>
    <row r="6" spans="1:13" s="148" customFormat="1" ht="12.75">
      <c r="A6" s="141">
        <v>50100</v>
      </c>
      <c r="B6" s="204" t="s">
        <v>359</v>
      </c>
      <c r="C6" s="147">
        <v>425</v>
      </c>
      <c r="D6" s="162">
        <v>376</v>
      </c>
      <c r="E6" s="203">
        <f>D6/C6</f>
        <v>0.8847058823529412</v>
      </c>
      <c r="F6" s="162">
        <f>C6-D6</f>
        <v>49</v>
      </c>
      <c r="G6" s="162">
        <v>10</v>
      </c>
      <c r="H6" s="162">
        <v>2</v>
      </c>
      <c r="I6" s="202">
        <v>21</v>
      </c>
      <c r="J6" s="162">
        <v>2</v>
      </c>
      <c r="K6" s="147">
        <f>I6-J6</f>
        <v>19</v>
      </c>
      <c r="L6" s="162">
        <f>D6+G6+H6+J6</f>
        <v>390</v>
      </c>
      <c r="M6" s="169"/>
    </row>
    <row r="7" spans="1:13" s="148" customFormat="1" ht="12.75">
      <c r="A7" s="149">
        <v>50200</v>
      </c>
      <c r="B7" s="204" t="s">
        <v>360</v>
      </c>
      <c r="C7" s="147">
        <v>282</v>
      </c>
      <c r="D7" s="162">
        <v>246</v>
      </c>
      <c r="E7" s="203">
        <f aca="true" t="shared" si="0" ref="E7:E22">D7/C7</f>
        <v>0.8723404255319149</v>
      </c>
      <c r="F7" s="162">
        <f aca="true" t="shared" si="1" ref="F7:F22">C7-D7</f>
        <v>36</v>
      </c>
      <c r="G7" s="162">
        <v>9</v>
      </c>
      <c r="H7" s="162">
        <v>2</v>
      </c>
      <c r="I7" s="202">
        <v>8</v>
      </c>
      <c r="J7" s="162">
        <v>3</v>
      </c>
      <c r="K7" s="147">
        <f aca="true" t="shared" si="2" ref="K7:K22">I7-J7</f>
        <v>5</v>
      </c>
      <c r="L7" s="162">
        <f aca="true" t="shared" si="3" ref="L7:L22">D7+G7+H7+J7</f>
        <v>260</v>
      </c>
      <c r="M7" s="169"/>
    </row>
    <row r="8" spans="1:13" s="148" customFormat="1" ht="12.75">
      <c r="A8" s="149">
        <v>50300</v>
      </c>
      <c r="B8" s="204" t="s">
        <v>361</v>
      </c>
      <c r="C8" s="147">
        <v>335</v>
      </c>
      <c r="D8" s="162">
        <v>279</v>
      </c>
      <c r="E8" s="203">
        <f t="shared" si="0"/>
        <v>0.8328358208955224</v>
      </c>
      <c r="F8" s="162">
        <f t="shared" si="1"/>
        <v>56</v>
      </c>
      <c r="G8" s="162">
        <v>18</v>
      </c>
      <c r="H8" s="162">
        <v>3</v>
      </c>
      <c r="I8" s="202">
        <v>28</v>
      </c>
      <c r="J8" s="162">
        <v>10</v>
      </c>
      <c r="K8" s="147">
        <f t="shared" si="2"/>
        <v>18</v>
      </c>
      <c r="L8" s="162">
        <f t="shared" si="3"/>
        <v>310</v>
      </c>
      <c r="M8" s="169"/>
    </row>
    <row r="9" spans="1:13" s="148" customFormat="1" ht="12.75">
      <c r="A9" s="149">
        <v>50600</v>
      </c>
      <c r="B9" s="204" t="s">
        <v>362</v>
      </c>
      <c r="C9" s="147">
        <v>619</v>
      </c>
      <c r="D9" s="162">
        <v>539</v>
      </c>
      <c r="E9" s="203">
        <f t="shared" si="0"/>
        <v>0.8707592891760905</v>
      </c>
      <c r="F9" s="162">
        <f t="shared" si="1"/>
        <v>80</v>
      </c>
      <c r="G9" s="162">
        <v>33</v>
      </c>
      <c r="H9" s="162">
        <v>11</v>
      </c>
      <c r="I9" s="202">
        <v>23</v>
      </c>
      <c r="J9" s="162">
        <v>6</v>
      </c>
      <c r="K9" s="147">
        <f t="shared" si="2"/>
        <v>17</v>
      </c>
      <c r="L9" s="162">
        <f t="shared" si="3"/>
        <v>589</v>
      </c>
      <c r="M9" s="169"/>
    </row>
    <row r="10" spans="1:13" s="148" customFormat="1" ht="12.75">
      <c r="A10" s="149">
        <v>50400</v>
      </c>
      <c r="B10" s="204" t="s">
        <v>363</v>
      </c>
      <c r="C10" s="147">
        <v>721</v>
      </c>
      <c r="D10" s="162">
        <v>660</v>
      </c>
      <c r="E10" s="203">
        <f t="shared" si="0"/>
        <v>0.9153952843273232</v>
      </c>
      <c r="F10" s="162">
        <f t="shared" si="1"/>
        <v>61</v>
      </c>
      <c r="G10" s="162">
        <v>41</v>
      </c>
      <c r="H10" s="162">
        <v>12</v>
      </c>
      <c r="I10" s="202">
        <v>18</v>
      </c>
      <c r="J10" s="162">
        <v>7</v>
      </c>
      <c r="K10" s="147">
        <f t="shared" si="2"/>
        <v>11</v>
      </c>
      <c r="L10" s="162">
        <f t="shared" si="3"/>
        <v>720</v>
      </c>
      <c r="M10" s="169"/>
    </row>
    <row r="11" spans="1:13" s="148" customFormat="1" ht="12.75">
      <c r="A11" s="149">
        <v>50500</v>
      </c>
      <c r="B11" s="204" t="s">
        <v>364</v>
      </c>
      <c r="C11" s="147">
        <v>682</v>
      </c>
      <c r="D11" s="162">
        <v>619</v>
      </c>
      <c r="E11" s="203">
        <f t="shared" si="0"/>
        <v>0.907624633431085</v>
      </c>
      <c r="F11" s="162">
        <f t="shared" si="1"/>
        <v>63</v>
      </c>
      <c r="G11" s="162">
        <v>25</v>
      </c>
      <c r="H11" s="162">
        <v>12</v>
      </c>
      <c r="I11" s="202">
        <v>17</v>
      </c>
      <c r="J11" s="162">
        <v>10</v>
      </c>
      <c r="K11" s="147">
        <f t="shared" si="2"/>
        <v>7</v>
      </c>
      <c r="L11" s="162">
        <f t="shared" si="3"/>
        <v>666</v>
      </c>
      <c r="M11" s="169"/>
    </row>
    <row r="12" spans="1:13" s="148" customFormat="1" ht="12.75">
      <c r="A12" s="149">
        <v>50700</v>
      </c>
      <c r="B12" s="204" t="s">
        <v>365</v>
      </c>
      <c r="C12" s="147">
        <v>491</v>
      </c>
      <c r="D12" s="162">
        <v>409</v>
      </c>
      <c r="E12" s="203">
        <f t="shared" si="0"/>
        <v>0.8329938900203666</v>
      </c>
      <c r="F12" s="162">
        <f t="shared" si="1"/>
        <v>82</v>
      </c>
      <c r="G12" s="162">
        <v>24</v>
      </c>
      <c r="H12" s="162">
        <v>4</v>
      </c>
      <c r="I12" s="202">
        <v>46</v>
      </c>
      <c r="J12" s="162">
        <v>16</v>
      </c>
      <c r="K12" s="147">
        <f t="shared" si="2"/>
        <v>30</v>
      </c>
      <c r="L12" s="162">
        <f t="shared" si="3"/>
        <v>453</v>
      </c>
      <c r="M12" s="169"/>
    </row>
    <row r="13" spans="1:13" s="150" customFormat="1" ht="12.75">
      <c r="A13" s="149">
        <v>50900</v>
      </c>
      <c r="B13" s="204" t="s">
        <v>366</v>
      </c>
      <c r="C13" s="147">
        <v>219</v>
      </c>
      <c r="D13" s="162">
        <v>188</v>
      </c>
      <c r="E13" s="203">
        <f t="shared" si="0"/>
        <v>0.8584474885844748</v>
      </c>
      <c r="F13" s="162">
        <f t="shared" si="1"/>
        <v>31</v>
      </c>
      <c r="G13" s="162">
        <v>6</v>
      </c>
      <c r="H13" s="162">
        <v>4</v>
      </c>
      <c r="I13" s="202">
        <v>15</v>
      </c>
      <c r="J13" s="162">
        <v>4</v>
      </c>
      <c r="K13" s="147">
        <f t="shared" si="2"/>
        <v>11</v>
      </c>
      <c r="L13" s="162">
        <f t="shared" si="3"/>
        <v>202</v>
      </c>
      <c r="M13" s="169"/>
    </row>
    <row r="14" spans="1:13" s="148" customFormat="1" ht="12.75">
      <c r="A14" s="141">
        <v>50800</v>
      </c>
      <c r="B14" s="204" t="s">
        <v>507</v>
      </c>
      <c r="C14" s="147">
        <v>1483</v>
      </c>
      <c r="D14" s="162">
        <v>1220</v>
      </c>
      <c r="E14" s="203">
        <f t="shared" si="0"/>
        <v>0.8226567768037761</v>
      </c>
      <c r="F14" s="162">
        <f t="shared" si="1"/>
        <v>263</v>
      </c>
      <c r="G14" s="162">
        <v>62</v>
      </c>
      <c r="H14" s="162">
        <v>28</v>
      </c>
      <c r="I14" s="147">
        <v>72</v>
      </c>
      <c r="J14" s="162">
        <v>27</v>
      </c>
      <c r="K14" s="147">
        <f t="shared" si="2"/>
        <v>45</v>
      </c>
      <c r="L14" s="162">
        <f t="shared" si="3"/>
        <v>1337</v>
      </c>
      <c r="M14" s="169"/>
    </row>
    <row r="15" spans="1:13" s="148" customFormat="1" ht="12.75">
      <c r="A15" s="149">
        <v>51000</v>
      </c>
      <c r="B15" s="204" t="s">
        <v>367</v>
      </c>
      <c r="C15" s="147">
        <v>319</v>
      </c>
      <c r="D15" s="162">
        <v>260</v>
      </c>
      <c r="E15" s="203">
        <f t="shared" si="0"/>
        <v>0.8150470219435737</v>
      </c>
      <c r="F15" s="162">
        <f t="shared" si="1"/>
        <v>59</v>
      </c>
      <c r="G15" s="162">
        <v>13</v>
      </c>
      <c r="H15" s="162">
        <v>5</v>
      </c>
      <c r="I15" s="202">
        <v>26</v>
      </c>
      <c r="J15" s="162">
        <v>11</v>
      </c>
      <c r="K15" s="147">
        <f t="shared" si="2"/>
        <v>15</v>
      </c>
      <c r="L15" s="162">
        <f t="shared" si="3"/>
        <v>289</v>
      </c>
      <c r="M15" s="169"/>
    </row>
    <row r="16" spans="1:13" s="148" customFormat="1" ht="12.75">
      <c r="A16" s="149">
        <v>51100</v>
      </c>
      <c r="B16" s="204" t="s">
        <v>368</v>
      </c>
      <c r="C16" s="147">
        <v>1023</v>
      </c>
      <c r="D16" s="162">
        <v>870</v>
      </c>
      <c r="E16" s="203">
        <f t="shared" si="0"/>
        <v>0.8504398826979472</v>
      </c>
      <c r="F16" s="162">
        <f t="shared" si="1"/>
        <v>153</v>
      </c>
      <c r="G16" s="162">
        <v>98</v>
      </c>
      <c r="H16" s="162">
        <v>20</v>
      </c>
      <c r="I16" s="202">
        <v>66</v>
      </c>
      <c r="J16" s="162">
        <v>27</v>
      </c>
      <c r="K16" s="147">
        <f t="shared" si="2"/>
        <v>39</v>
      </c>
      <c r="L16" s="162">
        <f t="shared" si="3"/>
        <v>1015</v>
      </c>
      <c r="M16" s="169"/>
    </row>
    <row r="17" spans="1:13" s="148" customFormat="1" ht="12.75">
      <c r="A17" s="149">
        <v>51200</v>
      </c>
      <c r="B17" s="204" t="s">
        <v>369</v>
      </c>
      <c r="C17" s="147">
        <v>1320</v>
      </c>
      <c r="D17" s="162">
        <v>1169</v>
      </c>
      <c r="E17" s="203">
        <f t="shared" si="0"/>
        <v>0.8856060606060606</v>
      </c>
      <c r="F17" s="162">
        <f t="shared" si="1"/>
        <v>151</v>
      </c>
      <c r="G17" s="162">
        <v>58</v>
      </c>
      <c r="H17" s="162">
        <v>21</v>
      </c>
      <c r="I17" s="202">
        <v>41</v>
      </c>
      <c r="J17" s="162">
        <v>23</v>
      </c>
      <c r="K17" s="147">
        <f t="shared" si="2"/>
        <v>18</v>
      </c>
      <c r="L17" s="162">
        <f t="shared" si="3"/>
        <v>1271</v>
      </c>
      <c r="M17" s="169"/>
    </row>
    <row r="18" spans="1:13" s="148" customFormat="1" ht="12.75">
      <c r="A18" s="149">
        <v>51300</v>
      </c>
      <c r="B18" s="204" t="s">
        <v>370</v>
      </c>
      <c r="C18" s="147">
        <v>222</v>
      </c>
      <c r="D18" s="162">
        <v>175</v>
      </c>
      <c r="E18" s="203">
        <f t="shared" si="0"/>
        <v>0.7882882882882883</v>
      </c>
      <c r="F18" s="162">
        <f t="shared" si="1"/>
        <v>47</v>
      </c>
      <c r="G18" s="162">
        <v>13</v>
      </c>
      <c r="H18" s="162">
        <v>4</v>
      </c>
      <c r="I18" s="202">
        <v>27</v>
      </c>
      <c r="J18" s="162">
        <v>5</v>
      </c>
      <c r="K18" s="147">
        <f t="shared" si="2"/>
        <v>22</v>
      </c>
      <c r="L18" s="162">
        <f t="shared" si="3"/>
        <v>197</v>
      </c>
      <c r="M18" s="169"/>
    </row>
    <row r="19" spans="1:13" s="148" customFormat="1" ht="12.75">
      <c r="A19" s="149">
        <v>51700</v>
      </c>
      <c r="B19" s="204" t="s">
        <v>371</v>
      </c>
      <c r="C19" s="147">
        <v>289</v>
      </c>
      <c r="D19" s="162">
        <v>244</v>
      </c>
      <c r="E19" s="203">
        <f t="shared" si="0"/>
        <v>0.8442906574394463</v>
      </c>
      <c r="F19" s="162">
        <f t="shared" si="1"/>
        <v>45</v>
      </c>
      <c r="G19" s="162">
        <v>14</v>
      </c>
      <c r="H19" s="162">
        <v>7</v>
      </c>
      <c r="I19" s="202">
        <v>25</v>
      </c>
      <c r="J19" s="162">
        <v>14</v>
      </c>
      <c r="K19" s="147">
        <f t="shared" si="2"/>
        <v>11</v>
      </c>
      <c r="L19" s="162">
        <f t="shared" si="3"/>
        <v>279</v>
      </c>
      <c r="M19" s="169"/>
    </row>
    <row r="20" spans="1:13" s="148" customFormat="1" ht="12.75">
      <c r="A20" s="149">
        <v>51900</v>
      </c>
      <c r="B20" s="204" t="s">
        <v>372</v>
      </c>
      <c r="C20" s="147">
        <v>242</v>
      </c>
      <c r="D20" s="162">
        <v>213</v>
      </c>
      <c r="E20" s="203">
        <f t="shared" si="0"/>
        <v>0.8801652892561983</v>
      </c>
      <c r="F20" s="162">
        <f t="shared" si="1"/>
        <v>29</v>
      </c>
      <c r="G20" s="162">
        <v>7</v>
      </c>
      <c r="H20" s="162">
        <v>5</v>
      </c>
      <c r="I20" s="202">
        <v>12</v>
      </c>
      <c r="J20" s="162">
        <v>3</v>
      </c>
      <c r="K20" s="147">
        <f t="shared" si="2"/>
        <v>9</v>
      </c>
      <c r="L20" s="162">
        <f t="shared" si="3"/>
        <v>228</v>
      </c>
      <c r="M20" s="169"/>
    </row>
    <row r="21" spans="1:13" s="148" customFormat="1" ht="12.75">
      <c r="A21" s="149">
        <v>51500</v>
      </c>
      <c r="B21" s="204" t="s">
        <v>373</v>
      </c>
      <c r="C21" s="147">
        <v>144</v>
      </c>
      <c r="D21" s="162">
        <v>134</v>
      </c>
      <c r="E21" s="203">
        <f t="shared" si="0"/>
        <v>0.9305555555555556</v>
      </c>
      <c r="F21" s="162">
        <f t="shared" si="1"/>
        <v>10</v>
      </c>
      <c r="G21" s="162">
        <v>3</v>
      </c>
      <c r="H21" s="162">
        <v>2</v>
      </c>
      <c r="I21" s="202">
        <v>2</v>
      </c>
      <c r="J21" s="162">
        <v>1</v>
      </c>
      <c r="K21" s="147">
        <f t="shared" si="2"/>
        <v>1</v>
      </c>
      <c r="L21" s="162">
        <f t="shared" si="3"/>
        <v>140</v>
      </c>
      <c r="M21" s="169"/>
    </row>
    <row r="22" spans="1:13" s="148" customFormat="1" ht="12.75">
      <c r="A22" s="149">
        <v>51600</v>
      </c>
      <c r="B22" s="204" t="s">
        <v>374</v>
      </c>
      <c r="C22" s="147">
        <v>128</v>
      </c>
      <c r="D22" s="162">
        <v>98</v>
      </c>
      <c r="E22" s="203">
        <f t="shared" si="0"/>
        <v>0.765625</v>
      </c>
      <c r="F22" s="162">
        <f t="shared" si="1"/>
        <v>30</v>
      </c>
      <c r="G22" s="162">
        <v>5</v>
      </c>
      <c r="H22" s="162">
        <v>1</v>
      </c>
      <c r="I22" s="202">
        <v>18</v>
      </c>
      <c r="J22" s="162">
        <v>5</v>
      </c>
      <c r="K22" s="147">
        <f t="shared" si="2"/>
        <v>13</v>
      </c>
      <c r="L22" s="162">
        <f t="shared" si="3"/>
        <v>109</v>
      </c>
      <c r="M22" s="169"/>
    </row>
    <row r="23" spans="2:13" ht="12.75">
      <c r="B23" s="53"/>
      <c r="C23" s="89" t="s">
        <v>16</v>
      </c>
      <c r="D23" s="89" t="s">
        <v>16</v>
      </c>
      <c r="E23" s="89" t="s">
        <v>94</v>
      </c>
      <c r="F23" s="89" t="s">
        <v>16</v>
      </c>
      <c r="G23" s="89" t="s">
        <v>16</v>
      </c>
      <c r="H23" s="89" t="s">
        <v>94</v>
      </c>
      <c r="I23" s="89" t="s">
        <v>17</v>
      </c>
      <c r="J23" s="89" t="s">
        <v>16</v>
      </c>
      <c r="K23" s="89" t="s">
        <v>16</v>
      </c>
      <c r="L23" s="89" t="s">
        <v>16</v>
      </c>
      <c r="M23" s="89"/>
    </row>
    <row r="24" spans="2:13" ht="12.75">
      <c r="B24" s="91" t="s">
        <v>140</v>
      </c>
      <c r="C24" s="64">
        <f>SUM(C6:C22)</f>
        <v>8944</v>
      </c>
      <c r="D24" s="64">
        <f>SUM(D6:D22)</f>
        <v>7699</v>
      </c>
      <c r="E24" s="133">
        <f>D24/C24</f>
        <v>0.8608005366726297</v>
      </c>
      <c r="F24" s="64">
        <f aca="true" t="shared" si="4" ref="F24:L24">SUM(F6:F22)</f>
        <v>1245</v>
      </c>
      <c r="G24" s="64">
        <f t="shared" si="4"/>
        <v>439</v>
      </c>
      <c r="H24" s="64">
        <f>SUM(H6:H22)</f>
        <v>143</v>
      </c>
      <c r="I24" s="64">
        <f t="shared" si="4"/>
        <v>465</v>
      </c>
      <c r="J24" s="64">
        <f t="shared" si="4"/>
        <v>174</v>
      </c>
      <c r="K24" s="64">
        <f t="shared" si="4"/>
        <v>291</v>
      </c>
      <c r="L24" s="64">
        <f t="shared" si="4"/>
        <v>8455</v>
      </c>
      <c r="M24" s="64"/>
    </row>
    <row r="25" spans="2:13" ht="12.75">
      <c r="B25" s="53"/>
      <c r="C25" s="79" t="s">
        <v>34</v>
      </c>
      <c r="D25" s="79" t="s">
        <v>34</v>
      </c>
      <c r="E25" s="65"/>
      <c r="F25" s="79" t="s">
        <v>34</v>
      </c>
      <c r="G25" s="79" t="s">
        <v>34</v>
      </c>
      <c r="H25" s="79"/>
      <c r="I25" s="79"/>
      <c r="J25" s="79"/>
      <c r="K25" s="79"/>
      <c r="L25" s="79"/>
      <c r="M25" s="79"/>
    </row>
    <row r="26" spans="2:13" ht="12.75">
      <c r="B26" s="53"/>
      <c r="C26" s="79"/>
      <c r="D26" s="79"/>
      <c r="E26" s="65"/>
      <c r="F26" s="79"/>
      <c r="G26" s="79"/>
      <c r="H26" s="79"/>
      <c r="I26" s="79"/>
      <c r="J26" s="79"/>
      <c r="K26" s="79"/>
      <c r="L26" s="79"/>
      <c r="M26" s="79"/>
    </row>
    <row r="27" spans="2:13" ht="12.75">
      <c r="B27" s="53"/>
      <c r="C27" s="79"/>
      <c r="D27" s="92" t="s">
        <v>622</v>
      </c>
      <c r="E27" s="65"/>
      <c r="F27" s="79"/>
      <c r="G27" s="79"/>
      <c r="H27" s="79"/>
      <c r="I27" s="79"/>
      <c r="J27" s="79"/>
      <c r="K27" s="79"/>
      <c r="L27" s="80"/>
      <c r="M27" s="80"/>
    </row>
    <row r="28" spans="2:13" ht="12.75">
      <c r="B28" s="53"/>
      <c r="C28" s="79"/>
      <c r="D28" s="79"/>
      <c r="E28" s="65"/>
      <c r="F28" s="79"/>
      <c r="G28" s="79"/>
      <c r="H28" s="79"/>
      <c r="I28" s="79"/>
      <c r="J28" s="79"/>
      <c r="K28" s="79"/>
      <c r="L28" s="80"/>
      <c r="M28" s="80"/>
    </row>
    <row r="29" spans="2:13" ht="12.75">
      <c r="B29" s="91" t="s">
        <v>18</v>
      </c>
      <c r="C29" s="79"/>
      <c r="D29" s="195">
        <f>C24</f>
        <v>8944</v>
      </c>
      <c r="E29" s="65"/>
      <c r="F29" s="79"/>
      <c r="G29" s="79"/>
      <c r="H29" s="78"/>
      <c r="I29" s="79"/>
      <c r="J29" s="79"/>
      <c r="K29" s="79"/>
      <c r="L29" s="80"/>
      <c r="M29" s="80"/>
    </row>
    <row r="30" spans="1:13" s="44" customFormat="1" ht="12.75">
      <c r="A30" s="69"/>
      <c r="B30" s="75" t="s">
        <v>623</v>
      </c>
      <c r="C30" s="122"/>
      <c r="D30" s="195">
        <f>L24-SUM(D34:D35)-D31</f>
        <v>7699</v>
      </c>
      <c r="E30" s="153"/>
      <c r="F30" s="122"/>
      <c r="G30" s="122" t="s">
        <v>34</v>
      </c>
      <c r="H30" s="152"/>
      <c r="I30" s="122"/>
      <c r="J30" s="122"/>
      <c r="K30" s="122"/>
      <c r="L30" s="154"/>
      <c r="M30" s="154"/>
    </row>
    <row r="31" spans="1:13" s="44" customFormat="1" ht="12.75">
      <c r="A31" s="69"/>
      <c r="B31" s="155" t="s">
        <v>19</v>
      </c>
      <c r="C31" s="122"/>
      <c r="D31" s="195">
        <f>H24</f>
        <v>143</v>
      </c>
      <c r="E31" s="153"/>
      <c r="F31" s="122"/>
      <c r="G31" s="122"/>
      <c r="H31" s="152"/>
      <c r="I31" s="122"/>
      <c r="J31" s="122"/>
      <c r="K31" s="122"/>
      <c r="L31" s="154"/>
      <c r="M31" s="154"/>
    </row>
    <row r="32" spans="1:13" s="44" customFormat="1" ht="12.75">
      <c r="A32" s="69"/>
      <c r="B32" s="155" t="s">
        <v>20</v>
      </c>
      <c r="C32" s="122"/>
      <c r="D32" s="196">
        <f>D30/D29</f>
        <v>0.8608005366726297</v>
      </c>
      <c r="E32" s="153"/>
      <c r="F32" s="122"/>
      <c r="G32" s="122"/>
      <c r="H32" s="152"/>
      <c r="I32" s="122"/>
      <c r="J32" s="122"/>
      <c r="K32" s="122"/>
      <c r="L32" s="154"/>
      <c r="M32" s="154"/>
    </row>
    <row r="33" spans="1:13" s="44" customFormat="1" ht="12.75">
      <c r="A33" s="69"/>
      <c r="B33" s="99"/>
      <c r="C33" s="122"/>
      <c r="D33" s="136"/>
      <c r="E33" s="153"/>
      <c r="F33" s="122"/>
      <c r="G33" s="122"/>
      <c r="H33" s="122"/>
      <c r="I33" s="122"/>
      <c r="J33" s="122"/>
      <c r="K33" s="122"/>
      <c r="L33" s="154"/>
      <c r="M33" s="154"/>
    </row>
    <row r="34" spans="1:13" s="44" customFormat="1" ht="12.75">
      <c r="A34" s="69"/>
      <c r="B34" s="99" t="s">
        <v>22</v>
      </c>
      <c r="C34" s="122"/>
      <c r="D34" s="195">
        <f>G24</f>
        <v>439</v>
      </c>
      <c r="E34" s="99"/>
      <c r="F34" s="122"/>
      <c r="G34" s="122"/>
      <c r="H34" s="152"/>
      <c r="I34" s="122"/>
      <c r="J34" s="122"/>
      <c r="K34" s="122"/>
      <c r="L34" s="154"/>
      <c r="M34" s="154"/>
    </row>
    <row r="35" spans="1:13" s="44" customFormat="1" ht="12.75">
      <c r="A35" s="69"/>
      <c r="B35" s="99" t="s">
        <v>23</v>
      </c>
      <c r="C35" s="122"/>
      <c r="D35" s="195">
        <f>J24</f>
        <v>174</v>
      </c>
      <c r="E35" s="99"/>
      <c r="F35" s="122"/>
      <c r="G35" s="122"/>
      <c r="H35" s="152"/>
      <c r="I35" s="122"/>
      <c r="J35" s="122"/>
      <c r="K35" s="122"/>
      <c r="L35" s="154"/>
      <c r="M35" s="154"/>
    </row>
    <row r="36" spans="2:13" ht="12.75">
      <c r="B36" s="53"/>
      <c r="C36" s="79"/>
      <c r="D36" s="136"/>
      <c r="E36" s="53"/>
      <c r="F36" s="79"/>
      <c r="G36" s="79"/>
      <c r="H36" s="79"/>
      <c r="I36" s="79"/>
      <c r="J36" s="79"/>
      <c r="K36" s="79"/>
      <c r="L36" s="80"/>
      <c r="M36" s="80"/>
    </row>
    <row r="37" spans="2:13" ht="12.75">
      <c r="B37" s="94" t="s">
        <v>141</v>
      </c>
      <c r="C37" s="79"/>
      <c r="D37" s="195">
        <f>D30+D31+D34+D35</f>
        <v>8455</v>
      </c>
      <c r="E37" s="53"/>
      <c r="F37" s="79" t="s">
        <v>174</v>
      </c>
      <c r="G37" s="79"/>
      <c r="H37" s="78"/>
      <c r="I37" s="79"/>
      <c r="J37" s="79"/>
      <c r="K37" s="79"/>
      <c r="L37" s="80"/>
      <c r="M37" s="80"/>
    </row>
    <row r="43" ht="15">
      <c r="B43" s="211" t="s">
        <v>668</v>
      </c>
    </row>
    <row r="44" spans="1:2" ht="12">
      <c r="A44" s="67" t="s">
        <v>34</v>
      </c>
      <c r="B44" s="25" t="s">
        <v>669</v>
      </c>
    </row>
    <row r="45" ht="12">
      <c r="B45" s="25" t="s">
        <v>647</v>
      </c>
    </row>
  </sheetData>
  <printOptions gridLines="1" horizontalCentered="1"/>
  <pageMargins left="0.25" right="0.26" top="0.65" bottom="0.32" header="0.38" footer="0.16"/>
  <pageSetup horizontalDpi="300" verticalDpi="300" orientation="portrait" scale="73" r:id="rId1"/>
  <headerFooter alignWithMargins="0">
    <oddHeader>&amp;C&amp;12Month Ending June 30, 2010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zoomScale="75" zoomScaleNormal="75" workbookViewId="0" topLeftCell="A1">
      <selection activeCell="I51" sqref="I51"/>
    </sheetView>
  </sheetViews>
  <sheetFormatPr defaultColWidth="9.140625" defaultRowHeight="12.75"/>
  <cols>
    <col min="1" max="1" width="9.140625" style="137" customWidth="1"/>
    <col min="2" max="2" width="31.28125" style="25" customWidth="1"/>
    <col min="3" max="3" width="7.8515625" style="25" customWidth="1"/>
    <col min="4" max="4" width="9.8515625" style="25" customWidth="1"/>
    <col min="5" max="5" width="9.00390625" style="25" customWidth="1"/>
    <col min="6" max="6" width="9.421875" style="25" customWidth="1"/>
    <col min="7" max="8" width="9.57421875" style="25" customWidth="1"/>
    <col min="9" max="9" width="9.421875" style="25" customWidth="1"/>
    <col min="10" max="10" width="6.7109375" style="25" customWidth="1"/>
    <col min="11" max="11" width="7.421875" style="25" customWidth="1"/>
    <col min="12" max="12" width="11.57421875" style="74" customWidth="1"/>
    <col min="13" max="16384" width="9.140625" style="25" customWidth="1"/>
  </cols>
  <sheetData>
    <row r="1" spans="1:12" s="67" customFormat="1" ht="12">
      <c r="A1" s="86" t="s">
        <v>693</v>
      </c>
      <c r="C1" s="67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</row>
    <row r="2" spans="1:12" s="68" customFormat="1" ht="51">
      <c r="A2" s="71" t="s">
        <v>191</v>
      </c>
      <c r="B2" s="71" t="s">
        <v>190</v>
      </c>
      <c r="C2" s="72" t="s">
        <v>509</v>
      </c>
      <c r="D2" s="73" t="s">
        <v>305</v>
      </c>
      <c r="E2" s="73" t="s">
        <v>186</v>
      </c>
      <c r="F2" s="73" t="s">
        <v>187</v>
      </c>
      <c r="G2" s="73" t="s">
        <v>306</v>
      </c>
      <c r="H2" s="72" t="s">
        <v>621</v>
      </c>
      <c r="I2" s="72" t="s">
        <v>510</v>
      </c>
      <c r="J2" s="72" t="s">
        <v>188</v>
      </c>
      <c r="K2" s="72" t="s">
        <v>189</v>
      </c>
      <c r="L2" s="210" t="s">
        <v>667</v>
      </c>
    </row>
    <row r="3" spans="1:12" s="67" customFormat="1" ht="12">
      <c r="A3" s="137"/>
      <c r="B3" s="88"/>
      <c r="C3" s="114"/>
      <c r="D3" s="114"/>
      <c r="E3" s="114"/>
      <c r="F3" s="114"/>
      <c r="G3" s="114"/>
      <c r="H3" s="117"/>
      <c r="I3" s="116"/>
      <c r="J3" s="117"/>
      <c r="K3" s="118"/>
      <c r="L3" s="114"/>
    </row>
    <row r="4" spans="1:12" ht="12">
      <c r="A4" s="91" t="s">
        <v>166</v>
      </c>
      <c r="C4" s="53"/>
      <c r="D4" s="53"/>
      <c r="E4" s="53"/>
      <c r="F4" s="53"/>
      <c r="G4" s="53"/>
      <c r="H4" s="53"/>
      <c r="I4" s="53"/>
      <c r="J4" s="53"/>
      <c r="K4" s="87"/>
      <c r="L4" s="53"/>
    </row>
    <row r="5" spans="2:12" ht="12.75">
      <c r="B5" s="53"/>
      <c r="C5" s="147"/>
      <c r="D5" s="161"/>
      <c r="E5" s="128"/>
      <c r="F5" s="171"/>
      <c r="G5" s="171"/>
      <c r="H5" s="161"/>
      <c r="I5" s="147"/>
      <c r="J5" s="171"/>
      <c r="K5" s="123"/>
      <c r="L5" s="130"/>
    </row>
    <row r="6" spans="1:12" s="148" customFormat="1" ht="12.75">
      <c r="A6" s="138">
        <v>61200</v>
      </c>
      <c r="B6" s="201" t="s">
        <v>375</v>
      </c>
      <c r="C6" s="202">
        <v>178</v>
      </c>
      <c r="D6" s="162">
        <v>159</v>
      </c>
      <c r="E6" s="203">
        <f>D6/C6</f>
        <v>0.8932584269662921</v>
      </c>
      <c r="F6" s="162">
        <f>C6-D6</f>
        <v>19</v>
      </c>
      <c r="G6" s="162">
        <v>3</v>
      </c>
      <c r="H6" s="162">
        <v>4</v>
      </c>
      <c r="I6" s="202">
        <v>10</v>
      </c>
      <c r="J6" s="162">
        <v>1</v>
      </c>
      <c r="K6" s="147">
        <f>I6-J6</f>
        <v>9</v>
      </c>
      <c r="L6" s="162">
        <f>D6+G6+H6+J6</f>
        <v>167</v>
      </c>
    </row>
    <row r="7" spans="1:12" s="148" customFormat="1" ht="12.75">
      <c r="A7" s="151">
        <v>60100</v>
      </c>
      <c r="B7" s="201" t="s">
        <v>376</v>
      </c>
      <c r="C7" s="202">
        <v>364</v>
      </c>
      <c r="D7" s="162">
        <v>296</v>
      </c>
      <c r="E7" s="203">
        <f aca="true" t="shared" si="0" ref="E7:E33">D7/C7</f>
        <v>0.8131868131868132</v>
      </c>
      <c r="F7" s="162">
        <f aca="true" t="shared" si="1" ref="F7:F33">C7-D7</f>
        <v>68</v>
      </c>
      <c r="G7" s="162">
        <v>15</v>
      </c>
      <c r="H7" s="162">
        <v>9</v>
      </c>
      <c r="I7" s="202">
        <v>29</v>
      </c>
      <c r="J7" s="162">
        <v>5</v>
      </c>
      <c r="K7" s="147">
        <f aca="true" t="shared" si="2" ref="K7:K33">I7-J7</f>
        <v>24</v>
      </c>
      <c r="L7" s="162">
        <f aca="true" t="shared" si="3" ref="L7:L32">D7+G7+H7+J7</f>
        <v>325</v>
      </c>
    </row>
    <row r="8" spans="1:12" s="148" customFormat="1" ht="12.75">
      <c r="A8" s="151">
        <v>60200</v>
      </c>
      <c r="B8" s="201" t="s">
        <v>377</v>
      </c>
      <c r="C8" s="202">
        <v>772</v>
      </c>
      <c r="D8" s="162">
        <v>667</v>
      </c>
      <c r="E8" s="203">
        <f t="shared" si="0"/>
        <v>0.8639896373056994</v>
      </c>
      <c r="F8" s="162">
        <f t="shared" si="1"/>
        <v>105</v>
      </c>
      <c r="G8" s="162">
        <v>35</v>
      </c>
      <c r="H8" s="162">
        <v>16</v>
      </c>
      <c r="I8" s="202">
        <v>56</v>
      </c>
      <c r="J8" s="162">
        <v>16</v>
      </c>
      <c r="K8" s="147">
        <f t="shared" si="2"/>
        <v>40</v>
      </c>
      <c r="L8" s="162">
        <f t="shared" si="3"/>
        <v>734</v>
      </c>
    </row>
    <row r="9" spans="1:12" s="148" customFormat="1" ht="12.75">
      <c r="A9" s="151">
        <v>70100</v>
      </c>
      <c r="B9" s="201" t="s">
        <v>378</v>
      </c>
      <c r="C9" s="202">
        <v>327</v>
      </c>
      <c r="D9" s="162">
        <v>265</v>
      </c>
      <c r="E9" s="203">
        <f t="shared" si="0"/>
        <v>0.8103975535168195</v>
      </c>
      <c r="F9" s="162">
        <f t="shared" si="1"/>
        <v>62</v>
      </c>
      <c r="G9" s="162">
        <v>24</v>
      </c>
      <c r="H9" s="162">
        <v>4</v>
      </c>
      <c r="I9" s="202">
        <v>25</v>
      </c>
      <c r="J9" s="162">
        <v>4</v>
      </c>
      <c r="K9" s="147">
        <f t="shared" si="2"/>
        <v>21</v>
      </c>
      <c r="L9" s="162">
        <f t="shared" si="3"/>
        <v>297</v>
      </c>
    </row>
    <row r="10" spans="1:12" s="148" customFormat="1" ht="12.75">
      <c r="A10" s="151">
        <v>70200</v>
      </c>
      <c r="B10" s="201" t="s">
        <v>379</v>
      </c>
      <c r="C10" s="202">
        <v>242</v>
      </c>
      <c r="D10" s="162">
        <v>198</v>
      </c>
      <c r="E10" s="203">
        <f t="shared" si="0"/>
        <v>0.8181818181818182</v>
      </c>
      <c r="F10" s="162">
        <f t="shared" si="1"/>
        <v>44</v>
      </c>
      <c r="G10" s="162">
        <v>10</v>
      </c>
      <c r="H10" s="162">
        <v>1</v>
      </c>
      <c r="I10" s="202">
        <v>7</v>
      </c>
      <c r="J10" s="162">
        <v>2</v>
      </c>
      <c r="K10" s="147">
        <f t="shared" si="2"/>
        <v>5</v>
      </c>
      <c r="L10" s="162">
        <f t="shared" si="3"/>
        <v>211</v>
      </c>
    </row>
    <row r="11" spans="1:12" s="148" customFormat="1" ht="12.75">
      <c r="A11" s="151">
        <v>60300</v>
      </c>
      <c r="B11" s="201" t="s">
        <v>380</v>
      </c>
      <c r="C11" s="202">
        <f>678+33+691</f>
        <v>1402</v>
      </c>
      <c r="D11" s="162">
        <f>1201+21</f>
        <v>1222</v>
      </c>
      <c r="E11" s="203">
        <f t="shared" si="0"/>
        <v>0.8716119828815977</v>
      </c>
      <c r="F11" s="162">
        <f t="shared" si="1"/>
        <v>180</v>
      </c>
      <c r="G11" s="162">
        <v>68</v>
      </c>
      <c r="H11" s="162">
        <v>24</v>
      </c>
      <c r="I11" s="202">
        <f>33+6</f>
        <v>39</v>
      </c>
      <c r="J11" s="162">
        <v>18</v>
      </c>
      <c r="K11" s="147">
        <f t="shared" si="2"/>
        <v>21</v>
      </c>
      <c r="L11" s="162">
        <f t="shared" si="3"/>
        <v>1332</v>
      </c>
    </row>
    <row r="12" spans="1:12" s="148" customFormat="1" ht="12.75">
      <c r="A12" s="151">
        <v>61300</v>
      </c>
      <c r="B12" s="201" t="s">
        <v>381</v>
      </c>
      <c r="C12" s="202">
        <v>125</v>
      </c>
      <c r="D12" s="162">
        <v>103</v>
      </c>
      <c r="E12" s="203">
        <f t="shared" si="0"/>
        <v>0.824</v>
      </c>
      <c r="F12" s="162">
        <f t="shared" si="1"/>
        <v>22</v>
      </c>
      <c r="G12" s="162">
        <v>12</v>
      </c>
      <c r="H12" s="162">
        <v>2</v>
      </c>
      <c r="I12" s="202">
        <v>7</v>
      </c>
      <c r="J12" s="162">
        <v>5</v>
      </c>
      <c r="K12" s="147">
        <f t="shared" si="2"/>
        <v>2</v>
      </c>
      <c r="L12" s="162">
        <f t="shared" si="3"/>
        <v>122</v>
      </c>
    </row>
    <row r="13" spans="1:12" s="148" customFormat="1" ht="12.75">
      <c r="A13" s="151">
        <v>60400</v>
      </c>
      <c r="B13" s="201" t="s">
        <v>382</v>
      </c>
      <c r="C13" s="202">
        <v>124</v>
      </c>
      <c r="D13" s="162">
        <v>102</v>
      </c>
      <c r="E13" s="203">
        <f t="shared" si="0"/>
        <v>0.8225806451612904</v>
      </c>
      <c r="F13" s="162">
        <f t="shared" si="1"/>
        <v>22</v>
      </c>
      <c r="G13" s="162">
        <v>1</v>
      </c>
      <c r="H13" s="162">
        <v>1</v>
      </c>
      <c r="I13" s="202">
        <v>8</v>
      </c>
      <c r="J13" s="162">
        <v>3</v>
      </c>
      <c r="K13" s="147">
        <f t="shared" si="2"/>
        <v>5</v>
      </c>
      <c r="L13" s="162">
        <f t="shared" si="3"/>
        <v>107</v>
      </c>
    </row>
    <row r="14" spans="1:12" s="148" customFormat="1" ht="12.75">
      <c r="A14" s="151">
        <v>61400</v>
      </c>
      <c r="B14" s="201" t="s">
        <v>383</v>
      </c>
      <c r="C14" s="202">
        <v>806</v>
      </c>
      <c r="D14" s="162">
        <v>722</v>
      </c>
      <c r="E14" s="203">
        <f t="shared" si="0"/>
        <v>0.8957816377171216</v>
      </c>
      <c r="F14" s="162">
        <f t="shared" si="1"/>
        <v>84</v>
      </c>
      <c r="G14" s="162">
        <v>45</v>
      </c>
      <c r="H14" s="162">
        <v>14</v>
      </c>
      <c r="I14" s="202">
        <f>4+1</f>
        <v>5</v>
      </c>
      <c r="J14" s="162">
        <v>5</v>
      </c>
      <c r="K14" s="147">
        <f t="shared" si="2"/>
        <v>0</v>
      </c>
      <c r="L14" s="162">
        <f t="shared" si="3"/>
        <v>786</v>
      </c>
    </row>
    <row r="15" spans="1:12" s="148" customFormat="1" ht="12.75">
      <c r="A15" s="151">
        <v>60500</v>
      </c>
      <c r="B15" s="201" t="s">
        <v>384</v>
      </c>
      <c r="C15" s="202">
        <v>153</v>
      </c>
      <c r="D15" s="162">
        <v>141</v>
      </c>
      <c r="E15" s="203">
        <f t="shared" si="0"/>
        <v>0.9215686274509803</v>
      </c>
      <c r="F15" s="162">
        <f t="shared" si="1"/>
        <v>12</v>
      </c>
      <c r="G15" s="162">
        <v>12</v>
      </c>
      <c r="H15" s="162">
        <v>5</v>
      </c>
      <c r="I15" s="202">
        <v>4</v>
      </c>
      <c r="J15" s="162">
        <v>4</v>
      </c>
      <c r="K15" s="147">
        <f t="shared" si="2"/>
        <v>0</v>
      </c>
      <c r="L15" s="162">
        <f t="shared" si="3"/>
        <v>162</v>
      </c>
    </row>
    <row r="16" spans="1:12" s="148" customFormat="1" ht="12.75">
      <c r="A16" s="151">
        <v>70300</v>
      </c>
      <c r="B16" s="201" t="s">
        <v>385</v>
      </c>
      <c r="C16" s="202">
        <v>938</v>
      </c>
      <c r="D16" s="162">
        <v>810</v>
      </c>
      <c r="E16" s="203">
        <f t="shared" si="0"/>
        <v>0.8635394456289979</v>
      </c>
      <c r="F16" s="162">
        <f t="shared" si="1"/>
        <v>128</v>
      </c>
      <c r="G16" s="162">
        <v>50</v>
      </c>
      <c r="H16" s="162">
        <v>20</v>
      </c>
      <c r="I16" s="202">
        <v>42</v>
      </c>
      <c r="J16" s="162">
        <v>22</v>
      </c>
      <c r="K16" s="147">
        <f t="shared" si="2"/>
        <v>20</v>
      </c>
      <c r="L16" s="162">
        <f t="shared" si="3"/>
        <v>902</v>
      </c>
    </row>
    <row r="17" spans="1:12" s="148" customFormat="1" ht="12.75">
      <c r="A17" s="151">
        <v>70410</v>
      </c>
      <c r="B17" s="201" t="s">
        <v>386</v>
      </c>
      <c r="C17" s="202">
        <v>55</v>
      </c>
      <c r="D17" s="162">
        <v>51</v>
      </c>
      <c r="E17" s="203">
        <f t="shared" si="0"/>
        <v>0.9272727272727272</v>
      </c>
      <c r="F17" s="162">
        <f t="shared" si="1"/>
        <v>4</v>
      </c>
      <c r="G17" s="162">
        <v>4</v>
      </c>
      <c r="H17" s="162">
        <v>1</v>
      </c>
      <c r="I17" s="202">
        <v>1</v>
      </c>
      <c r="J17" s="162">
        <v>1</v>
      </c>
      <c r="K17" s="147">
        <f t="shared" si="2"/>
        <v>0</v>
      </c>
      <c r="L17" s="162">
        <f t="shared" si="3"/>
        <v>57</v>
      </c>
    </row>
    <row r="18" spans="1:12" s="148" customFormat="1" ht="12.75">
      <c r="A18" s="151">
        <v>60600</v>
      </c>
      <c r="B18" s="201" t="s">
        <v>387</v>
      </c>
      <c r="C18" s="202">
        <v>301</v>
      </c>
      <c r="D18" s="162">
        <v>268</v>
      </c>
      <c r="E18" s="203">
        <f t="shared" si="0"/>
        <v>0.8903654485049833</v>
      </c>
      <c r="F18" s="162">
        <f t="shared" si="1"/>
        <v>33</v>
      </c>
      <c r="G18" s="162">
        <v>14</v>
      </c>
      <c r="H18" s="162">
        <v>3</v>
      </c>
      <c r="I18" s="202">
        <v>10</v>
      </c>
      <c r="J18" s="162">
        <v>3</v>
      </c>
      <c r="K18" s="147">
        <f t="shared" si="2"/>
        <v>7</v>
      </c>
      <c r="L18" s="162">
        <f t="shared" si="3"/>
        <v>288</v>
      </c>
    </row>
    <row r="19" spans="1:12" s="148" customFormat="1" ht="12.75">
      <c r="A19" s="151">
        <v>60700</v>
      </c>
      <c r="B19" s="201" t="s">
        <v>388</v>
      </c>
      <c r="C19" s="202">
        <v>777</v>
      </c>
      <c r="D19" s="162">
        <v>656</v>
      </c>
      <c r="E19" s="203">
        <f t="shared" si="0"/>
        <v>0.8442728442728443</v>
      </c>
      <c r="F19" s="162">
        <f t="shared" si="1"/>
        <v>121</v>
      </c>
      <c r="G19" s="162">
        <v>28</v>
      </c>
      <c r="H19" s="162">
        <v>8</v>
      </c>
      <c r="I19" s="202">
        <v>37</v>
      </c>
      <c r="J19" s="162">
        <v>14</v>
      </c>
      <c r="K19" s="147">
        <f t="shared" si="2"/>
        <v>23</v>
      </c>
      <c r="L19" s="162">
        <f t="shared" si="3"/>
        <v>706</v>
      </c>
    </row>
    <row r="20" spans="1:12" s="148" customFormat="1" ht="12.75">
      <c r="A20" s="151">
        <v>70400</v>
      </c>
      <c r="B20" s="201" t="s">
        <v>389</v>
      </c>
      <c r="C20" s="202">
        <v>1218</v>
      </c>
      <c r="D20" s="162">
        <v>1048</v>
      </c>
      <c r="E20" s="203">
        <f t="shared" si="0"/>
        <v>0.8604269293924466</v>
      </c>
      <c r="F20" s="162">
        <f t="shared" si="1"/>
        <v>170</v>
      </c>
      <c r="G20" s="162">
        <v>53</v>
      </c>
      <c r="H20" s="162">
        <v>14</v>
      </c>
      <c r="I20" s="202">
        <v>60</v>
      </c>
      <c r="J20" s="162">
        <v>33</v>
      </c>
      <c r="K20" s="147">
        <f t="shared" si="2"/>
        <v>27</v>
      </c>
      <c r="L20" s="162">
        <f t="shared" si="3"/>
        <v>1148</v>
      </c>
    </row>
    <row r="21" spans="1:12" s="148" customFormat="1" ht="12.75">
      <c r="A21" s="151">
        <v>60501</v>
      </c>
      <c r="B21" s="201" t="s">
        <v>390</v>
      </c>
      <c r="C21" s="202">
        <v>44</v>
      </c>
      <c r="D21" s="162">
        <v>40</v>
      </c>
      <c r="E21" s="203">
        <f t="shared" si="0"/>
        <v>0.9090909090909091</v>
      </c>
      <c r="F21" s="162">
        <f t="shared" si="1"/>
        <v>4</v>
      </c>
      <c r="G21" s="162">
        <v>2</v>
      </c>
      <c r="H21" s="162">
        <v>0</v>
      </c>
      <c r="I21" s="202">
        <v>0</v>
      </c>
      <c r="J21" s="162">
        <v>0</v>
      </c>
      <c r="K21" s="147">
        <f t="shared" si="2"/>
        <v>0</v>
      </c>
      <c r="L21" s="162">
        <f t="shared" si="3"/>
        <v>42</v>
      </c>
    </row>
    <row r="22" spans="1:12" s="148" customFormat="1" ht="12.75">
      <c r="A22" s="151">
        <v>70500</v>
      </c>
      <c r="B22" s="201" t="s">
        <v>391</v>
      </c>
      <c r="C22" s="202">
        <v>475</v>
      </c>
      <c r="D22" s="162">
        <v>402</v>
      </c>
      <c r="E22" s="203">
        <f t="shared" si="0"/>
        <v>0.8463157894736842</v>
      </c>
      <c r="F22" s="162">
        <f t="shared" si="1"/>
        <v>73</v>
      </c>
      <c r="G22" s="162">
        <v>15</v>
      </c>
      <c r="H22" s="162">
        <v>9</v>
      </c>
      <c r="I22" s="202">
        <v>37</v>
      </c>
      <c r="J22" s="162">
        <v>15</v>
      </c>
      <c r="K22" s="147">
        <f t="shared" si="2"/>
        <v>22</v>
      </c>
      <c r="L22" s="162">
        <f t="shared" si="3"/>
        <v>441</v>
      </c>
    </row>
    <row r="23" spans="1:12" s="148" customFormat="1" ht="12.75">
      <c r="A23" s="151">
        <v>60800</v>
      </c>
      <c r="B23" s="201" t="s">
        <v>392</v>
      </c>
      <c r="C23" s="202">
        <v>148</v>
      </c>
      <c r="D23" s="162">
        <v>118</v>
      </c>
      <c r="E23" s="203">
        <f t="shared" si="0"/>
        <v>0.7972972972972973</v>
      </c>
      <c r="F23" s="162">
        <f t="shared" si="1"/>
        <v>30</v>
      </c>
      <c r="G23" s="162">
        <v>14</v>
      </c>
      <c r="H23" s="162">
        <v>1</v>
      </c>
      <c r="I23" s="202">
        <v>11</v>
      </c>
      <c r="J23" s="162">
        <v>2</v>
      </c>
      <c r="K23" s="147">
        <f t="shared" si="2"/>
        <v>9</v>
      </c>
      <c r="L23" s="162">
        <f t="shared" si="3"/>
        <v>135</v>
      </c>
    </row>
    <row r="24" spans="1:12" s="148" customFormat="1" ht="12.75">
      <c r="A24" s="151">
        <v>60710</v>
      </c>
      <c r="B24" s="201" t="s">
        <v>393</v>
      </c>
      <c r="C24" s="202">
        <v>180</v>
      </c>
      <c r="D24" s="162">
        <v>164</v>
      </c>
      <c r="E24" s="203">
        <f t="shared" si="0"/>
        <v>0.9111111111111111</v>
      </c>
      <c r="F24" s="162">
        <f t="shared" si="1"/>
        <v>16</v>
      </c>
      <c r="G24" s="162">
        <v>6</v>
      </c>
      <c r="H24" s="162">
        <v>2</v>
      </c>
      <c r="I24" s="202">
        <v>4</v>
      </c>
      <c r="J24" s="162">
        <v>3</v>
      </c>
      <c r="K24" s="147">
        <f t="shared" si="2"/>
        <v>1</v>
      </c>
      <c r="L24" s="162">
        <f t="shared" si="3"/>
        <v>175</v>
      </c>
    </row>
    <row r="25" spans="1:12" s="148" customFormat="1" ht="12.75">
      <c r="A25" s="151">
        <v>70403</v>
      </c>
      <c r="B25" s="201" t="s">
        <v>394</v>
      </c>
      <c r="C25" s="202">
        <v>74</v>
      </c>
      <c r="D25" s="162">
        <v>49</v>
      </c>
      <c r="E25" s="203">
        <f t="shared" si="0"/>
        <v>0.6621621621621622</v>
      </c>
      <c r="F25" s="162">
        <f t="shared" si="1"/>
        <v>25</v>
      </c>
      <c r="G25" s="162">
        <v>7</v>
      </c>
      <c r="H25" s="162">
        <v>2</v>
      </c>
      <c r="I25" s="202">
        <v>15</v>
      </c>
      <c r="J25" s="162">
        <v>5</v>
      </c>
      <c r="K25" s="147">
        <f t="shared" si="2"/>
        <v>10</v>
      </c>
      <c r="L25" s="162">
        <f t="shared" si="3"/>
        <v>63</v>
      </c>
    </row>
    <row r="26" spans="1:12" s="148" customFormat="1" ht="12.75">
      <c r="A26" s="151">
        <v>60900</v>
      </c>
      <c r="B26" s="201" t="s">
        <v>395</v>
      </c>
      <c r="C26" s="202">
        <v>102</v>
      </c>
      <c r="D26" s="162">
        <v>79</v>
      </c>
      <c r="E26" s="203">
        <f t="shared" si="0"/>
        <v>0.7745098039215687</v>
      </c>
      <c r="F26" s="162">
        <f t="shared" si="1"/>
        <v>23</v>
      </c>
      <c r="G26" s="162">
        <v>6</v>
      </c>
      <c r="H26" s="162">
        <v>1</v>
      </c>
      <c r="I26" s="202">
        <v>17</v>
      </c>
      <c r="J26" s="162">
        <v>4</v>
      </c>
      <c r="K26" s="147">
        <f t="shared" si="2"/>
        <v>13</v>
      </c>
      <c r="L26" s="162">
        <f t="shared" si="3"/>
        <v>90</v>
      </c>
    </row>
    <row r="27" spans="1:12" s="148" customFormat="1" ht="12.75">
      <c r="A27" s="151">
        <v>70401</v>
      </c>
      <c r="B27" s="201" t="s">
        <v>396</v>
      </c>
      <c r="C27" s="202">
        <v>158</v>
      </c>
      <c r="D27" s="162">
        <v>118</v>
      </c>
      <c r="E27" s="203">
        <f t="shared" si="0"/>
        <v>0.7468354430379747</v>
      </c>
      <c r="F27" s="162">
        <f t="shared" si="1"/>
        <v>40</v>
      </c>
      <c r="G27" s="162">
        <v>9</v>
      </c>
      <c r="H27" s="162">
        <v>3</v>
      </c>
      <c r="I27" s="202">
        <v>20</v>
      </c>
      <c r="J27" s="162">
        <v>3</v>
      </c>
      <c r="K27" s="147">
        <f t="shared" si="2"/>
        <v>17</v>
      </c>
      <c r="L27" s="162">
        <f t="shared" si="3"/>
        <v>133</v>
      </c>
    </row>
    <row r="28" spans="1:12" s="148" customFormat="1" ht="12.75">
      <c r="A28" s="151">
        <v>61000</v>
      </c>
      <c r="B28" s="201" t="s">
        <v>397</v>
      </c>
      <c r="C28" s="202">
        <v>365</v>
      </c>
      <c r="D28" s="162">
        <v>305</v>
      </c>
      <c r="E28" s="203">
        <f t="shared" si="0"/>
        <v>0.8356164383561644</v>
      </c>
      <c r="F28" s="162">
        <f t="shared" si="1"/>
        <v>60</v>
      </c>
      <c r="G28" s="162">
        <v>12</v>
      </c>
      <c r="H28" s="162">
        <v>9</v>
      </c>
      <c r="I28" s="202">
        <v>33</v>
      </c>
      <c r="J28" s="162">
        <v>8</v>
      </c>
      <c r="K28" s="147">
        <f t="shared" si="2"/>
        <v>25</v>
      </c>
      <c r="L28" s="162">
        <f t="shared" si="3"/>
        <v>334</v>
      </c>
    </row>
    <row r="29" spans="1:12" s="148" customFormat="1" ht="12.75">
      <c r="A29" s="151">
        <v>70501</v>
      </c>
      <c r="B29" s="201" t="s">
        <v>398</v>
      </c>
      <c r="C29" s="202">
        <v>87</v>
      </c>
      <c r="D29" s="162">
        <v>70</v>
      </c>
      <c r="E29" s="203">
        <f t="shared" si="0"/>
        <v>0.8045977011494253</v>
      </c>
      <c r="F29" s="162">
        <f t="shared" si="1"/>
        <v>17</v>
      </c>
      <c r="G29" s="162">
        <v>3</v>
      </c>
      <c r="H29" s="162">
        <v>1</v>
      </c>
      <c r="I29" s="202">
        <v>7</v>
      </c>
      <c r="J29" s="162">
        <v>3</v>
      </c>
      <c r="K29" s="147">
        <f t="shared" si="2"/>
        <v>4</v>
      </c>
      <c r="L29" s="162">
        <f t="shared" si="3"/>
        <v>77</v>
      </c>
    </row>
    <row r="30" spans="1:12" s="148" customFormat="1" ht="12.75">
      <c r="A30" s="151">
        <v>70430</v>
      </c>
      <c r="B30" s="201" t="s">
        <v>399</v>
      </c>
      <c r="C30" s="202">
        <v>101</v>
      </c>
      <c r="D30" s="162">
        <v>81</v>
      </c>
      <c r="E30" s="203">
        <f t="shared" si="0"/>
        <v>0.801980198019802</v>
      </c>
      <c r="F30" s="162">
        <f t="shared" si="1"/>
        <v>20</v>
      </c>
      <c r="G30" s="162">
        <v>12</v>
      </c>
      <c r="H30" s="162">
        <v>2</v>
      </c>
      <c r="I30" s="202">
        <v>9</v>
      </c>
      <c r="J30" s="162">
        <v>7</v>
      </c>
      <c r="K30" s="147">
        <f t="shared" si="2"/>
        <v>2</v>
      </c>
      <c r="L30" s="162">
        <f t="shared" si="3"/>
        <v>102</v>
      </c>
    </row>
    <row r="31" spans="1:12" s="148" customFormat="1" ht="12.75">
      <c r="A31" s="151">
        <v>60110</v>
      </c>
      <c r="B31" s="201" t="s">
        <v>506</v>
      </c>
      <c r="C31" s="202">
        <v>58</v>
      </c>
      <c r="D31" s="162">
        <v>56</v>
      </c>
      <c r="E31" s="203">
        <f t="shared" si="0"/>
        <v>0.9655172413793104</v>
      </c>
      <c r="F31" s="162">
        <f t="shared" si="1"/>
        <v>2</v>
      </c>
      <c r="G31" s="162">
        <v>6</v>
      </c>
      <c r="H31" s="162">
        <v>3</v>
      </c>
      <c r="I31" s="202">
        <v>1</v>
      </c>
      <c r="J31" s="162">
        <v>1</v>
      </c>
      <c r="K31" s="147">
        <f t="shared" si="2"/>
        <v>0</v>
      </c>
      <c r="L31" s="162">
        <f t="shared" si="3"/>
        <v>66</v>
      </c>
    </row>
    <row r="32" spans="1:12" s="148" customFormat="1" ht="12.75">
      <c r="A32" s="151">
        <v>61100</v>
      </c>
      <c r="B32" s="201" t="s">
        <v>400</v>
      </c>
      <c r="C32" s="202">
        <v>284</v>
      </c>
      <c r="D32" s="162">
        <v>243</v>
      </c>
      <c r="E32" s="203">
        <f t="shared" si="0"/>
        <v>0.8556338028169014</v>
      </c>
      <c r="F32" s="162">
        <f t="shared" si="1"/>
        <v>41</v>
      </c>
      <c r="G32" s="162">
        <v>18</v>
      </c>
      <c r="H32" s="162">
        <v>6</v>
      </c>
      <c r="I32" s="202">
        <v>14</v>
      </c>
      <c r="J32" s="162">
        <v>5</v>
      </c>
      <c r="K32" s="147">
        <f t="shared" si="2"/>
        <v>9</v>
      </c>
      <c r="L32" s="162">
        <f t="shared" si="3"/>
        <v>272</v>
      </c>
    </row>
    <row r="33" spans="1:12" s="148" customFormat="1" ht="12.75">
      <c r="A33" s="151">
        <v>70600</v>
      </c>
      <c r="B33" s="201" t="s">
        <v>401</v>
      </c>
      <c r="C33" s="202">
        <v>864</v>
      </c>
      <c r="D33" s="162">
        <v>766</v>
      </c>
      <c r="E33" s="203">
        <f t="shared" si="0"/>
        <v>0.8865740740740741</v>
      </c>
      <c r="F33" s="162">
        <f t="shared" si="1"/>
        <v>98</v>
      </c>
      <c r="G33" s="162">
        <v>39</v>
      </c>
      <c r="H33" s="162">
        <v>7</v>
      </c>
      <c r="I33" s="202">
        <v>32</v>
      </c>
      <c r="J33" s="162">
        <v>13</v>
      </c>
      <c r="K33" s="147">
        <f t="shared" si="2"/>
        <v>19</v>
      </c>
      <c r="L33" s="162">
        <f>D33+G33+H33+J33</f>
        <v>825</v>
      </c>
    </row>
    <row r="34" spans="1:12" s="44" customFormat="1" ht="12.75">
      <c r="A34" s="139"/>
      <c r="B34" s="57"/>
      <c r="C34" s="89" t="s">
        <v>16</v>
      </c>
      <c r="D34" s="89" t="s">
        <v>16</v>
      </c>
      <c r="E34" s="90" t="s">
        <v>95</v>
      </c>
      <c r="F34" s="89" t="s">
        <v>16</v>
      </c>
      <c r="G34" s="89" t="s">
        <v>16</v>
      </c>
      <c r="H34" s="89" t="s">
        <v>94</v>
      </c>
      <c r="I34" s="89" t="s">
        <v>17</v>
      </c>
      <c r="J34" s="89" t="s">
        <v>16</v>
      </c>
      <c r="K34" s="89" t="s">
        <v>16</v>
      </c>
      <c r="L34" s="89" t="s">
        <v>16</v>
      </c>
    </row>
    <row r="35" spans="1:12" s="44" customFormat="1" ht="12.75">
      <c r="A35" s="139"/>
      <c r="B35" s="100" t="s">
        <v>175</v>
      </c>
      <c r="C35" s="64">
        <f>SUM(C6:C33)</f>
        <v>10722</v>
      </c>
      <c r="D35" s="64">
        <f>SUM(D6:D33)</f>
        <v>9199</v>
      </c>
      <c r="E35" s="133">
        <f>D35/C35</f>
        <v>0.8579556052975191</v>
      </c>
      <c r="F35" s="64">
        <f aca="true" t="shared" si="4" ref="F35:L35">SUM(F6:F33)</f>
        <v>1523</v>
      </c>
      <c r="G35" s="64">
        <f t="shared" si="4"/>
        <v>523</v>
      </c>
      <c r="H35" s="64">
        <f>SUM(H6:H33)</f>
        <v>172</v>
      </c>
      <c r="I35" s="64">
        <f t="shared" si="4"/>
        <v>540</v>
      </c>
      <c r="J35" s="64">
        <f t="shared" si="4"/>
        <v>205</v>
      </c>
      <c r="K35" s="64">
        <f t="shared" si="4"/>
        <v>335</v>
      </c>
      <c r="L35" s="64">
        <f t="shared" si="4"/>
        <v>10099</v>
      </c>
    </row>
    <row r="36" spans="2:12" ht="12.75">
      <c r="B36" s="164"/>
      <c r="C36" s="161" t="s">
        <v>34</v>
      </c>
      <c r="D36" s="161"/>
      <c r="E36" s="65"/>
      <c r="F36" s="171"/>
      <c r="G36" s="171"/>
      <c r="H36" s="161"/>
      <c r="I36" s="171"/>
      <c r="J36" s="171"/>
      <c r="K36" s="171"/>
      <c r="L36" s="171"/>
    </row>
    <row r="37" spans="2:12" ht="12">
      <c r="B37" s="53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3:12" ht="12">
      <c r="C38" s="66"/>
      <c r="D38" s="92" t="s">
        <v>622</v>
      </c>
      <c r="F38" s="66"/>
      <c r="G38" s="66"/>
      <c r="H38" s="66"/>
      <c r="I38" s="66" t="s">
        <v>34</v>
      </c>
      <c r="J38" s="66"/>
      <c r="K38" s="66"/>
      <c r="L38" s="82"/>
    </row>
    <row r="39" spans="3:12" ht="12">
      <c r="C39" s="66"/>
      <c r="D39" s="66"/>
      <c r="F39" s="66" t="s">
        <v>34</v>
      </c>
      <c r="G39" s="66"/>
      <c r="H39" s="66"/>
      <c r="I39" s="66"/>
      <c r="J39" s="66"/>
      <c r="K39" s="66"/>
      <c r="L39" s="82"/>
    </row>
    <row r="40" spans="2:12" ht="12.75">
      <c r="B40" s="43" t="s">
        <v>18</v>
      </c>
      <c r="C40" s="66"/>
      <c r="D40" s="195">
        <f>C35</f>
        <v>10722</v>
      </c>
      <c r="F40" s="66"/>
      <c r="G40" s="66"/>
      <c r="H40" s="78"/>
      <c r="I40" s="66"/>
      <c r="J40" s="66"/>
      <c r="K40" s="66"/>
      <c r="L40" s="82"/>
    </row>
    <row r="41" spans="2:12" ht="12.75">
      <c r="B41" s="75" t="s">
        <v>623</v>
      </c>
      <c r="C41" s="66"/>
      <c r="D41" s="195">
        <f>L35-SUM(D45:D46)-D42</f>
        <v>9199</v>
      </c>
      <c r="F41" s="66"/>
      <c r="G41" s="66"/>
      <c r="H41" s="78"/>
      <c r="I41" s="66"/>
      <c r="J41" s="66"/>
      <c r="K41" s="66"/>
      <c r="L41" s="82"/>
    </row>
    <row r="42" spans="2:12" ht="12.75">
      <c r="B42" s="75" t="s">
        <v>19</v>
      </c>
      <c r="C42" s="66"/>
      <c r="D42" s="195">
        <f>H35</f>
        <v>172</v>
      </c>
      <c r="F42" s="66"/>
      <c r="G42" s="66"/>
      <c r="H42" s="78"/>
      <c r="I42" s="66"/>
      <c r="J42" s="66"/>
      <c r="K42" s="66"/>
      <c r="L42" s="82"/>
    </row>
    <row r="43" spans="2:12" ht="12.75">
      <c r="B43" s="75" t="s">
        <v>20</v>
      </c>
      <c r="C43" s="66"/>
      <c r="D43" s="196">
        <f>D41/D40</f>
        <v>0.8579556052975191</v>
      </c>
      <c r="F43" s="66"/>
      <c r="G43" s="66"/>
      <c r="H43" s="78"/>
      <c r="I43" s="66"/>
      <c r="J43" s="66"/>
      <c r="K43" s="66"/>
      <c r="L43" s="174"/>
    </row>
    <row r="44" spans="3:12" ht="12.75">
      <c r="C44" s="66"/>
      <c r="D44" s="136"/>
      <c r="F44" s="66"/>
      <c r="G44" s="66"/>
      <c r="H44" s="79"/>
      <c r="I44" s="66"/>
      <c r="J44" s="66"/>
      <c r="K44" s="66"/>
      <c r="L44" s="82"/>
    </row>
    <row r="45" spans="2:8" ht="12.75">
      <c r="B45" s="25" t="s">
        <v>22</v>
      </c>
      <c r="D45" s="195">
        <f>G35</f>
        <v>523</v>
      </c>
      <c r="H45" s="101"/>
    </row>
    <row r="46" spans="2:8" ht="12.75">
      <c r="B46" s="25" t="s">
        <v>23</v>
      </c>
      <c r="D46" s="195">
        <f>J35</f>
        <v>205</v>
      </c>
      <c r="H46" s="101"/>
    </row>
    <row r="47" spans="4:8" ht="12.75">
      <c r="D47" s="136"/>
      <c r="H47" s="53"/>
    </row>
    <row r="48" spans="2:8" ht="12.75">
      <c r="B48" s="81" t="s">
        <v>142</v>
      </c>
      <c r="D48" s="195">
        <f>D41+D42+D45+D46</f>
        <v>10099</v>
      </c>
      <c r="H48" s="101"/>
    </row>
    <row r="49" ht="12" hidden="1">
      <c r="D49" s="66"/>
    </row>
    <row r="50" ht="12" hidden="1">
      <c r="D50" s="66"/>
    </row>
    <row r="51" spans="2:4" ht="12" hidden="1">
      <c r="B51" s="43" t="s">
        <v>24</v>
      </c>
      <c r="D51" s="82">
        <v>1802</v>
      </c>
    </row>
    <row r="52" spans="2:4" ht="12" hidden="1">
      <c r="B52" s="83" t="s">
        <v>25</v>
      </c>
      <c r="D52" s="66">
        <f>1212+137</f>
        <v>1349</v>
      </c>
    </row>
    <row r="53" spans="2:4" ht="12" hidden="1">
      <c r="B53" s="83" t="s">
        <v>26</v>
      </c>
      <c r="D53" s="66">
        <f>805+77</f>
        <v>882</v>
      </c>
    </row>
    <row r="54" ht="12" hidden="1">
      <c r="D54" s="66"/>
    </row>
    <row r="55" spans="2:4" ht="12" hidden="1">
      <c r="B55" s="81" t="s">
        <v>27</v>
      </c>
      <c r="D55" s="84">
        <f>SUM(D52:D53)</f>
        <v>2231</v>
      </c>
    </row>
    <row r="56" spans="2:4" ht="12" hidden="1">
      <c r="B56" s="81"/>
      <c r="D56" s="84"/>
    </row>
    <row r="57" spans="2:4" ht="12" hidden="1">
      <c r="B57" s="81"/>
      <c r="D57" s="84"/>
    </row>
    <row r="58" spans="2:4" ht="12.75" hidden="1" thickBot="1">
      <c r="B58" s="81" t="s">
        <v>28</v>
      </c>
      <c r="D58" s="85">
        <f>SUM(D48+D55)</f>
        <v>12330</v>
      </c>
    </row>
    <row r="59" ht="12" hidden="1"/>
    <row r="60" ht="12" hidden="1"/>
    <row r="61" spans="2:12" ht="12" hidden="1">
      <c r="B61" s="44" t="s">
        <v>132</v>
      </c>
      <c r="C61" s="44"/>
      <c r="D61" s="44"/>
      <c r="E61" s="44"/>
      <c r="F61" s="44"/>
      <c r="G61" s="44"/>
      <c r="H61" s="44"/>
      <c r="I61" s="44"/>
      <c r="J61" s="44"/>
      <c r="K61" s="44"/>
      <c r="L61" s="70"/>
    </row>
    <row r="62" spans="2:12" ht="12" hidden="1">
      <c r="B62" s="44" t="s">
        <v>133</v>
      </c>
      <c r="C62" s="44"/>
      <c r="D62" s="44"/>
      <c r="E62" s="44"/>
      <c r="F62" s="44"/>
      <c r="G62" s="44"/>
      <c r="H62" s="44"/>
      <c r="I62" s="44"/>
      <c r="J62" s="44"/>
      <c r="K62" s="44"/>
      <c r="L62" s="70"/>
    </row>
    <row r="63" spans="2:12" ht="12" hidden="1">
      <c r="B63" s="44" t="s">
        <v>30</v>
      </c>
      <c r="C63" s="44"/>
      <c r="D63" s="44"/>
      <c r="E63" s="44"/>
      <c r="F63" s="44"/>
      <c r="G63" s="44"/>
      <c r="H63" s="44"/>
      <c r="I63" s="44"/>
      <c r="J63" s="44"/>
      <c r="K63" s="44"/>
      <c r="L63" s="70"/>
    </row>
    <row r="64" spans="2:12" ht="12" hidden="1">
      <c r="B64" s="44" t="s">
        <v>31</v>
      </c>
      <c r="C64" s="44"/>
      <c r="D64" s="44"/>
      <c r="E64" s="44"/>
      <c r="F64" s="44"/>
      <c r="G64" s="44"/>
      <c r="H64" s="44"/>
      <c r="I64" s="44"/>
      <c r="J64" s="44"/>
      <c r="K64" s="44"/>
      <c r="L64" s="70"/>
    </row>
    <row r="65" spans="2:12" ht="12" hidden="1">
      <c r="B65" s="44" t="s">
        <v>32</v>
      </c>
      <c r="C65" s="44"/>
      <c r="D65" s="44"/>
      <c r="E65" s="44"/>
      <c r="F65" s="44"/>
      <c r="G65" s="44"/>
      <c r="H65" s="44"/>
      <c r="I65" s="44"/>
      <c r="J65" s="44"/>
      <c r="K65" s="44"/>
      <c r="L65" s="70"/>
    </row>
    <row r="66" spans="2:12" ht="12" hidden="1">
      <c r="B66" s="44" t="s">
        <v>33</v>
      </c>
      <c r="C66" s="44"/>
      <c r="D66" s="44"/>
      <c r="E66" s="44"/>
      <c r="F66" s="44"/>
      <c r="G66" s="44"/>
      <c r="H66" s="44"/>
      <c r="I66" s="44"/>
      <c r="J66" s="44"/>
      <c r="K66" s="44"/>
      <c r="L66" s="70"/>
    </row>
    <row r="67" spans="2:12" ht="12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70"/>
    </row>
    <row r="69" ht="15">
      <c r="B69" s="211" t="s">
        <v>668</v>
      </c>
    </row>
    <row r="70" ht="12">
      <c r="B70" s="25" t="s">
        <v>665</v>
      </c>
    </row>
    <row r="71" ht="12">
      <c r="B71" s="25" t="s">
        <v>666</v>
      </c>
    </row>
    <row r="72" ht="12.75">
      <c r="B72" s="26"/>
    </row>
    <row r="73" spans="3:12" ht="12.75">
      <c r="C73" s="171"/>
      <c r="D73" s="171"/>
      <c r="E73" s="65"/>
      <c r="F73" s="171"/>
      <c r="G73" s="171"/>
      <c r="H73" s="171"/>
      <c r="I73" s="171"/>
      <c r="J73" s="171"/>
      <c r="K73" s="171"/>
      <c r="L73" s="171"/>
    </row>
    <row r="74" spans="1:12" s="148" customFormat="1" ht="12.75">
      <c r="A74" s="151"/>
      <c r="B74" s="165"/>
      <c r="C74" s="147"/>
      <c r="D74" s="162"/>
      <c r="E74" s="128"/>
      <c r="F74" s="171"/>
      <c r="G74" s="169"/>
      <c r="H74" s="162"/>
      <c r="I74" s="169"/>
      <c r="J74" s="147"/>
      <c r="K74" s="169"/>
      <c r="L74" s="169"/>
    </row>
    <row r="75" spans="1:12" s="148" customFormat="1" ht="12.75">
      <c r="A75" s="151"/>
      <c r="B75" s="165"/>
      <c r="C75" s="147"/>
      <c r="D75" s="162"/>
      <c r="E75" s="128"/>
      <c r="F75" s="171"/>
      <c r="G75" s="169"/>
      <c r="H75" s="162"/>
      <c r="I75" s="169"/>
      <c r="J75" s="147"/>
      <c r="K75" s="169"/>
      <c r="L75" s="169"/>
    </row>
  </sheetData>
  <printOptions gridLines="1" horizontalCentered="1"/>
  <pageMargins left="0.25" right="0.26" top="0.65" bottom="0.32" header="0.38" footer="0.16"/>
  <pageSetup horizontalDpi="300" verticalDpi="300" orientation="portrait" scale="73" r:id="rId1"/>
  <headerFooter alignWithMargins="0">
    <oddHeader>&amp;C&amp;12Month Ending June 30, 2010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workbookViewId="0" topLeftCell="A1">
      <selection activeCell="I51" sqref="I51"/>
    </sheetView>
  </sheetViews>
  <sheetFormatPr defaultColWidth="9.140625" defaultRowHeight="12.75"/>
  <cols>
    <col min="1" max="1" width="9.140625" style="67" customWidth="1"/>
    <col min="2" max="2" width="30.00390625" style="25" customWidth="1"/>
    <col min="3" max="3" width="7.28125" style="25" customWidth="1"/>
    <col min="4" max="4" width="9.8515625" style="25" customWidth="1"/>
    <col min="5" max="5" width="9.57421875" style="25" customWidth="1"/>
    <col min="6" max="6" width="9.421875" style="25" customWidth="1"/>
    <col min="7" max="8" width="9.57421875" style="25" customWidth="1"/>
    <col min="9" max="9" width="9.421875" style="25" customWidth="1"/>
    <col min="10" max="10" width="6.421875" style="25" customWidth="1"/>
    <col min="11" max="11" width="7.421875" style="25" customWidth="1"/>
    <col min="12" max="12" width="11.57421875" style="74" customWidth="1"/>
    <col min="13" max="16384" width="9.140625" style="25" customWidth="1"/>
  </cols>
  <sheetData>
    <row r="1" spans="1:12" s="67" customFormat="1" ht="12">
      <c r="A1" s="86" t="s">
        <v>693</v>
      </c>
      <c r="C1" s="67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</row>
    <row r="2" spans="1:12" s="68" customFormat="1" ht="51">
      <c r="A2" s="71" t="s">
        <v>191</v>
      </c>
      <c r="B2" s="71" t="s">
        <v>190</v>
      </c>
      <c r="C2" s="72" t="s">
        <v>509</v>
      </c>
      <c r="D2" s="73" t="s">
        <v>305</v>
      </c>
      <c r="E2" s="73" t="s">
        <v>186</v>
      </c>
      <c r="F2" s="73" t="s">
        <v>187</v>
      </c>
      <c r="G2" s="73" t="s">
        <v>306</v>
      </c>
      <c r="H2" s="72" t="s">
        <v>621</v>
      </c>
      <c r="I2" s="72" t="s">
        <v>510</v>
      </c>
      <c r="J2" s="72" t="s">
        <v>188</v>
      </c>
      <c r="K2" s="72" t="s">
        <v>189</v>
      </c>
      <c r="L2" s="210" t="s">
        <v>667</v>
      </c>
    </row>
    <row r="3" spans="2:12" s="67" customFormat="1" ht="12">
      <c r="B3" s="88"/>
      <c r="C3" s="56"/>
      <c r="D3" s="56"/>
      <c r="E3" s="56"/>
      <c r="F3" s="56"/>
      <c r="G3" s="56"/>
      <c r="H3" s="95"/>
      <c r="I3" s="55"/>
      <c r="J3" s="96"/>
      <c r="K3" s="97"/>
      <c r="L3" s="56"/>
    </row>
    <row r="4" spans="1:12" ht="12">
      <c r="A4" s="98" t="s">
        <v>165</v>
      </c>
      <c r="C4" s="53"/>
      <c r="D4" s="53"/>
      <c r="E4" s="53"/>
      <c r="F4" s="53"/>
      <c r="G4" s="53"/>
      <c r="H4" s="53"/>
      <c r="I4" s="53"/>
      <c r="J4" s="53"/>
      <c r="K4" s="87"/>
      <c r="L4" s="53"/>
    </row>
    <row r="5" spans="2:12" ht="12.75">
      <c r="B5" s="53"/>
      <c r="C5" s="147"/>
      <c r="D5" s="162"/>
      <c r="E5" s="128"/>
      <c r="F5" s="169"/>
      <c r="G5" s="169"/>
      <c r="H5" s="162"/>
      <c r="I5" s="147"/>
      <c r="J5" s="169"/>
      <c r="K5" s="123"/>
      <c r="L5" s="130"/>
    </row>
    <row r="6" spans="1:12" s="148" customFormat="1" ht="12.75">
      <c r="A6" s="141">
        <v>81300</v>
      </c>
      <c r="B6" s="201" t="s">
        <v>402</v>
      </c>
      <c r="C6" s="202">
        <v>174</v>
      </c>
      <c r="D6" s="162">
        <v>159</v>
      </c>
      <c r="E6" s="203">
        <f>D6/C6</f>
        <v>0.9137931034482759</v>
      </c>
      <c r="F6" s="162">
        <f>C6-D6</f>
        <v>15</v>
      </c>
      <c r="G6" s="162">
        <v>9</v>
      </c>
      <c r="H6" s="162">
        <v>5</v>
      </c>
      <c r="I6" s="202">
        <f>5+1</f>
        <v>6</v>
      </c>
      <c r="J6" s="162">
        <v>6</v>
      </c>
      <c r="K6" s="147">
        <f>I6-J6</f>
        <v>0</v>
      </c>
      <c r="L6" s="162">
        <f>D6+G6+H6+J6</f>
        <v>179</v>
      </c>
    </row>
    <row r="7" spans="1:12" s="150" customFormat="1" ht="12.75">
      <c r="A7" s="149">
        <v>80700</v>
      </c>
      <c r="B7" s="201" t="s">
        <v>403</v>
      </c>
      <c r="C7" s="202">
        <v>244</v>
      </c>
      <c r="D7" s="162">
        <v>216</v>
      </c>
      <c r="E7" s="203">
        <f aca="true" t="shared" si="0" ref="E7:E35">D7/C7</f>
        <v>0.8852459016393442</v>
      </c>
      <c r="F7" s="162">
        <f aca="true" t="shared" si="1" ref="F7:F35">C7-D7</f>
        <v>28</v>
      </c>
      <c r="G7" s="162">
        <v>24</v>
      </c>
      <c r="H7" s="162">
        <v>6</v>
      </c>
      <c r="I7" s="202">
        <v>8</v>
      </c>
      <c r="J7" s="162">
        <v>6</v>
      </c>
      <c r="K7" s="147">
        <f aca="true" t="shared" si="2" ref="K7:K35">I7-J7</f>
        <v>2</v>
      </c>
      <c r="L7" s="162">
        <f aca="true" t="shared" si="3" ref="L7:L34">D7+G7+H7+J7</f>
        <v>252</v>
      </c>
    </row>
    <row r="8" spans="1:12" s="148" customFormat="1" ht="12.75">
      <c r="A8" s="141">
        <v>91600</v>
      </c>
      <c r="B8" s="201" t="s">
        <v>404</v>
      </c>
      <c r="C8" s="202">
        <v>387</v>
      </c>
      <c r="D8" s="162">
        <v>296</v>
      </c>
      <c r="E8" s="203">
        <f t="shared" si="0"/>
        <v>0.7648578811369509</v>
      </c>
      <c r="F8" s="162">
        <f t="shared" si="1"/>
        <v>91</v>
      </c>
      <c r="G8" s="162">
        <v>28</v>
      </c>
      <c r="H8" s="162">
        <v>7</v>
      </c>
      <c r="I8" s="202">
        <v>31</v>
      </c>
      <c r="J8" s="162">
        <v>9</v>
      </c>
      <c r="K8" s="147">
        <f t="shared" si="2"/>
        <v>22</v>
      </c>
      <c r="L8" s="162">
        <f t="shared" si="3"/>
        <v>340</v>
      </c>
    </row>
    <row r="9" spans="1:12" s="148" customFormat="1" ht="12.75">
      <c r="A9" s="149">
        <v>91700</v>
      </c>
      <c r="B9" s="201" t="s">
        <v>405</v>
      </c>
      <c r="C9" s="202">
        <v>174</v>
      </c>
      <c r="D9" s="162">
        <v>136</v>
      </c>
      <c r="E9" s="203">
        <f t="shared" si="0"/>
        <v>0.7816091954022989</v>
      </c>
      <c r="F9" s="162">
        <f t="shared" si="1"/>
        <v>38</v>
      </c>
      <c r="G9" s="162">
        <v>6</v>
      </c>
      <c r="H9" s="162">
        <v>2</v>
      </c>
      <c r="I9" s="202">
        <v>21</v>
      </c>
      <c r="J9" s="162">
        <v>5</v>
      </c>
      <c r="K9" s="147">
        <f t="shared" si="2"/>
        <v>16</v>
      </c>
      <c r="L9" s="162">
        <f t="shared" si="3"/>
        <v>149</v>
      </c>
    </row>
    <row r="10" spans="1:12" s="148" customFormat="1" ht="12.75">
      <c r="A10" s="149">
        <v>91800</v>
      </c>
      <c r="B10" s="201" t="s">
        <v>406</v>
      </c>
      <c r="C10" s="202">
        <v>295</v>
      </c>
      <c r="D10" s="162">
        <v>238</v>
      </c>
      <c r="E10" s="203">
        <f t="shared" si="0"/>
        <v>0.8067796610169492</v>
      </c>
      <c r="F10" s="162">
        <f t="shared" si="1"/>
        <v>57</v>
      </c>
      <c r="G10" s="162">
        <v>15</v>
      </c>
      <c r="H10" s="162">
        <v>4</v>
      </c>
      <c r="I10" s="202">
        <v>15</v>
      </c>
      <c r="J10" s="162">
        <v>3</v>
      </c>
      <c r="K10" s="147">
        <f t="shared" si="2"/>
        <v>12</v>
      </c>
      <c r="L10" s="162">
        <f t="shared" si="3"/>
        <v>260</v>
      </c>
    </row>
    <row r="11" spans="1:12" s="148" customFormat="1" ht="12.75">
      <c r="A11" s="149">
        <v>80800</v>
      </c>
      <c r="B11" s="201" t="s">
        <v>407</v>
      </c>
      <c r="C11" s="202">
        <v>358</v>
      </c>
      <c r="D11" s="162">
        <v>316</v>
      </c>
      <c r="E11" s="203">
        <f t="shared" si="0"/>
        <v>0.88268156424581</v>
      </c>
      <c r="F11" s="162">
        <f t="shared" si="1"/>
        <v>42</v>
      </c>
      <c r="G11" s="162">
        <v>17</v>
      </c>
      <c r="H11" s="162">
        <v>2</v>
      </c>
      <c r="I11" s="202">
        <v>20</v>
      </c>
      <c r="J11" s="162">
        <v>7</v>
      </c>
      <c r="K11" s="147">
        <f t="shared" si="2"/>
        <v>13</v>
      </c>
      <c r="L11" s="162">
        <f t="shared" si="3"/>
        <v>342</v>
      </c>
    </row>
    <row r="12" spans="1:12" s="148" customFormat="1" ht="12.75">
      <c r="A12" s="149">
        <v>92000</v>
      </c>
      <c r="B12" s="201" t="s">
        <v>408</v>
      </c>
      <c r="C12" s="202">
        <v>165</v>
      </c>
      <c r="D12" s="162">
        <v>135</v>
      </c>
      <c r="E12" s="203">
        <f t="shared" si="0"/>
        <v>0.8181818181818182</v>
      </c>
      <c r="F12" s="162">
        <f t="shared" si="1"/>
        <v>30</v>
      </c>
      <c r="G12" s="162">
        <v>7</v>
      </c>
      <c r="H12" s="162">
        <v>3</v>
      </c>
      <c r="I12" s="202">
        <v>13</v>
      </c>
      <c r="J12" s="162">
        <v>7</v>
      </c>
      <c r="K12" s="147">
        <f t="shared" si="2"/>
        <v>6</v>
      </c>
      <c r="L12" s="162">
        <f t="shared" si="3"/>
        <v>152</v>
      </c>
    </row>
    <row r="13" spans="1:12" s="148" customFormat="1" ht="12.75">
      <c r="A13" s="149">
        <v>91110</v>
      </c>
      <c r="B13" s="201" t="s">
        <v>409</v>
      </c>
      <c r="C13" s="202">
        <v>100</v>
      </c>
      <c r="D13" s="162">
        <v>76</v>
      </c>
      <c r="E13" s="203">
        <f t="shared" si="0"/>
        <v>0.76</v>
      </c>
      <c r="F13" s="162">
        <f t="shared" si="1"/>
        <v>24</v>
      </c>
      <c r="G13" s="162">
        <v>6</v>
      </c>
      <c r="H13" s="162">
        <v>2</v>
      </c>
      <c r="I13" s="202">
        <v>7</v>
      </c>
      <c r="J13" s="162">
        <v>2</v>
      </c>
      <c r="K13" s="147">
        <f t="shared" si="2"/>
        <v>5</v>
      </c>
      <c r="L13" s="162">
        <f t="shared" si="3"/>
        <v>86</v>
      </c>
    </row>
    <row r="14" spans="1:12" s="148" customFormat="1" ht="12.75">
      <c r="A14" s="149">
        <v>90400</v>
      </c>
      <c r="B14" s="201" t="s">
        <v>410</v>
      </c>
      <c r="C14" s="202">
        <v>236</v>
      </c>
      <c r="D14" s="162">
        <v>209</v>
      </c>
      <c r="E14" s="203">
        <f t="shared" si="0"/>
        <v>0.885593220338983</v>
      </c>
      <c r="F14" s="162">
        <f t="shared" si="1"/>
        <v>27</v>
      </c>
      <c r="G14" s="162">
        <v>15</v>
      </c>
      <c r="H14" s="162">
        <v>4</v>
      </c>
      <c r="I14" s="202">
        <v>4</v>
      </c>
      <c r="J14" s="162">
        <v>2</v>
      </c>
      <c r="K14" s="147">
        <f t="shared" si="2"/>
        <v>2</v>
      </c>
      <c r="L14" s="162">
        <f t="shared" si="3"/>
        <v>230</v>
      </c>
    </row>
    <row r="15" spans="1:12" s="148" customFormat="1" ht="12.75">
      <c r="A15" s="149">
        <v>80200</v>
      </c>
      <c r="B15" s="201" t="s">
        <v>411</v>
      </c>
      <c r="C15" s="202">
        <v>227</v>
      </c>
      <c r="D15" s="162">
        <v>183</v>
      </c>
      <c r="E15" s="203">
        <f t="shared" si="0"/>
        <v>0.8061674008810573</v>
      </c>
      <c r="F15" s="162">
        <f t="shared" si="1"/>
        <v>44</v>
      </c>
      <c r="G15" s="162">
        <v>18</v>
      </c>
      <c r="H15" s="162">
        <v>5</v>
      </c>
      <c r="I15" s="202">
        <v>20</v>
      </c>
      <c r="J15" s="162">
        <v>4</v>
      </c>
      <c r="K15" s="147">
        <f t="shared" si="2"/>
        <v>16</v>
      </c>
      <c r="L15" s="162">
        <f t="shared" si="3"/>
        <v>210</v>
      </c>
    </row>
    <row r="16" spans="1:12" s="148" customFormat="1" ht="12.75">
      <c r="A16" s="149">
        <v>80900</v>
      </c>
      <c r="B16" s="201" t="s">
        <v>412</v>
      </c>
      <c r="C16" s="202">
        <v>204</v>
      </c>
      <c r="D16" s="162">
        <v>176</v>
      </c>
      <c r="E16" s="203">
        <f t="shared" si="0"/>
        <v>0.8627450980392157</v>
      </c>
      <c r="F16" s="162">
        <f t="shared" si="1"/>
        <v>28</v>
      </c>
      <c r="G16" s="162">
        <v>11</v>
      </c>
      <c r="H16" s="162">
        <v>4</v>
      </c>
      <c r="I16" s="202">
        <v>18</v>
      </c>
      <c r="J16" s="162">
        <v>5</v>
      </c>
      <c r="K16" s="147">
        <f t="shared" si="2"/>
        <v>13</v>
      </c>
      <c r="L16" s="162">
        <f t="shared" si="3"/>
        <v>196</v>
      </c>
    </row>
    <row r="17" spans="1:12" s="148" customFormat="1" ht="12.75">
      <c r="A17" s="149">
        <v>90600</v>
      </c>
      <c r="B17" s="201" t="s">
        <v>413</v>
      </c>
      <c r="C17" s="202">
        <v>1221</v>
      </c>
      <c r="D17" s="162">
        <v>1047</v>
      </c>
      <c r="E17" s="203">
        <f t="shared" si="0"/>
        <v>0.8574938574938575</v>
      </c>
      <c r="F17" s="162">
        <f t="shared" si="1"/>
        <v>174</v>
      </c>
      <c r="G17" s="162">
        <v>60</v>
      </c>
      <c r="H17" s="162">
        <v>25</v>
      </c>
      <c r="I17" s="202">
        <v>62</v>
      </c>
      <c r="J17" s="162">
        <v>29</v>
      </c>
      <c r="K17" s="147">
        <f t="shared" si="2"/>
        <v>33</v>
      </c>
      <c r="L17" s="162">
        <f t="shared" si="3"/>
        <v>1161</v>
      </c>
    </row>
    <row r="18" spans="1:12" s="148" customFormat="1" ht="12.75">
      <c r="A18" s="149">
        <v>80500</v>
      </c>
      <c r="B18" s="201" t="s">
        <v>414</v>
      </c>
      <c r="C18" s="202">
        <v>145</v>
      </c>
      <c r="D18" s="162">
        <v>115</v>
      </c>
      <c r="E18" s="203">
        <f t="shared" si="0"/>
        <v>0.7931034482758621</v>
      </c>
      <c r="F18" s="162">
        <f t="shared" si="1"/>
        <v>30</v>
      </c>
      <c r="G18" s="162">
        <v>11</v>
      </c>
      <c r="H18" s="162">
        <v>2</v>
      </c>
      <c r="I18" s="202">
        <v>12</v>
      </c>
      <c r="J18" s="162">
        <v>4</v>
      </c>
      <c r="K18" s="147">
        <f t="shared" si="2"/>
        <v>8</v>
      </c>
      <c r="L18" s="162">
        <f t="shared" si="3"/>
        <v>132</v>
      </c>
    </row>
    <row r="19" spans="1:12" s="148" customFormat="1" ht="12.75">
      <c r="A19" s="149">
        <v>91500</v>
      </c>
      <c r="B19" s="201" t="s">
        <v>415</v>
      </c>
      <c r="C19" s="202">
        <v>556</v>
      </c>
      <c r="D19" s="162">
        <v>502</v>
      </c>
      <c r="E19" s="203">
        <f t="shared" si="0"/>
        <v>0.9028776978417267</v>
      </c>
      <c r="F19" s="162">
        <f t="shared" si="1"/>
        <v>54</v>
      </c>
      <c r="G19" s="162">
        <v>38</v>
      </c>
      <c r="H19" s="162">
        <v>8</v>
      </c>
      <c r="I19" s="202">
        <f>7+1</f>
        <v>8</v>
      </c>
      <c r="J19" s="162">
        <v>8</v>
      </c>
      <c r="K19" s="147">
        <f t="shared" si="2"/>
        <v>0</v>
      </c>
      <c r="L19" s="162">
        <f t="shared" si="3"/>
        <v>556</v>
      </c>
    </row>
    <row r="20" spans="1:12" s="148" customFormat="1" ht="12.75">
      <c r="A20" s="149">
        <v>81800</v>
      </c>
      <c r="B20" s="201" t="s">
        <v>416</v>
      </c>
      <c r="C20" s="202">
        <v>239</v>
      </c>
      <c r="D20" s="162">
        <v>215</v>
      </c>
      <c r="E20" s="203">
        <f t="shared" si="0"/>
        <v>0.899581589958159</v>
      </c>
      <c r="F20" s="162">
        <f t="shared" si="1"/>
        <v>24</v>
      </c>
      <c r="G20" s="162">
        <v>19</v>
      </c>
      <c r="H20" s="162">
        <v>6</v>
      </c>
      <c r="I20" s="202">
        <v>6</v>
      </c>
      <c r="J20" s="162">
        <v>6</v>
      </c>
      <c r="K20" s="147">
        <f t="shared" si="2"/>
        <v>0</v>
      </c>
      <c r="L20" s="162">
        <f t="shared" si="3"/>
        <v>246</v>
      </c>
    </row>
    <row r="21" spans="1:12" s="148" customFormat="1" ht="12.75">
      <c r="A21" s="149">
        <v>81310</v>
      </c>
      <c r="B21" s="201" t="s">
        <v>417</v>
      </c>
      <c r="C21" s="202">
        <v>48</v>
      </c>
      <c r="D21" s="162">
        <v>35</v>
      </c>
      <c r="E21" s="203">
        <f t="shared" si="0"/>
        <v>0.7291666666666666</v>
      </c>
      <c r="F21" s="162">
        <f t="shared" si="1"/>
        <v>13</v>
      </c>
      <c r="G21" s="162">
        <v>3</v>
      </c>
      <c r="H21" s="162">
        <v>4</v>
      </c>
      <c r="I21" s="202">
        <v>7</v>
      </c>
      <c r="J21" s="162">
        <v>3</v>
      </c>
      <c r="K21" s="147">
        <f t="shared" si="2"/>
        <v>4</v>
      </c>
      <c r="L21" s="162">
        <f t="shared" si="3"/>
        <v>45</v>
      </c>
    </row>
    <row r="22" spans="1:12" s="148" customFormat="1" ht="12.75">
      <c r="A22" s="149">
        <v>80610</v>
      </c>
      <c r="B22" s="201" t="s">
        <v>654</v>
      </c>
      <c r="C22" s="202">
        <f>110+1</f>
        <v>111</v>
      </c>
      <c r="D22" s="162">
        <v>109</v>
      </c>
      <c r="E22" s="203">
        <f t="shared" si="0"/>
        <v>0.9819819819819819</v>
      </c>
      <c r="F22" s="162">
        <f t="shared" si="1"/>
        <v>2</v>
      </c>
      <c r="G22" s="162">
        <v>14</v>
      </c>
      <c r="H22" s="162">
        <v>3</v>
      </c>
      <c r="I22" s="202">
        <v>2</v>
      </c>
      <c r="J22" s="162">
        <v>1</v>
      </c>
      <c r="K22" s="147">
        <f t="shared" si="2"/>
        <v>1</v>
      </c>
      <c r="L22" s="162">
        <f t="shared" si="3"/>
        <v>127</v>
      </c>
    </row>
    <row r="23" spans="1:12" s="148" customFormat="1" ht="12.75">
      <c r="A23" s="149">
        <v>91400</v>
      </c>
      <c r="B23" s="201" t="s">
        <v>418</v>
      </c>
      <c r="C23" s="202">
        <v>984</v>
      </c>
      <c r="D23" s="162">
        <v>847</v>
      </c>
      <c r="E23" s="203">
        <f t="shared" si="0"/>
        <v>0.8607723577235772</v>
      </c>
      <c r="F23" s="162">
        <f t="shared" si="1"/>
        <v>137</v>
      </c>
      <c r="G23" s="162">
        <v>66</v>
      </c>
      <c r="H23" s="162">
        <v>14</v>
      </c>
      <c r="I23" s="202">
        <v>30</v>
      </c>
      <c r="J23" s="162">
        <v>12</v>
      </c>
      <c r="K23" s="147">
        <f t="shared" si="2"/>
        <v>18</v>
      </c>
      <c r="L23" s="162">
        <f t="shared" si="3"/>
        <v>939</v>
      </c>
    </row>
    <row r="24" spans="1:12" s="148" customFormat="1" ht="12.75">
      <c r="A24" s="149">
        <v>81000</v>
      </c>
      <c r="B24" s="201" t="s">
        <v>419</v>
      </c>
      <c r="C24" s="202">
        <v>678</v>
      </c>
      <c r="D24" s="162">
        <v>568</v>
      </c>
      <c r="E24" s="203">
        <f t="shared" si="0"/>
        <v>0.8377581120943953</v>
      </c>
      <c r="F24" s="162">
        <f t="shared" si="1"/>
        <v>110</v>
      </c>
      <c r="G24" s="162">
        <v>41</v>
      </c>
      <c r="H24" s="162">
        <v>14</v>
      </c>
      <c r="I24" s="202">
        <v>36</v>
      </c>
      <c r="J24" s="162">
        <v>15</v>
      </c>
      <c r="K24" s="147">
        <f t="shared" si="2"/>
        <v>21</v>
      </c>
      <c r="L24" s="162">
        <f t="shared" si="3"/>
        <v>638</v>
      </c>
    </row>
    <row r="25" spans="1:12" s="148" customFormat="1" ht="12.75">
      <c r="A25" s="149">
        <v>81700</v>
      </c>
      <c r="B25" s="201" t="s">
        <v>420</v>
      </c>
      <c r="C25" s="202">
        <v>146</v>
      </c>
      <c r="D25" s="162">
        <v>121</v>
      </c>
      <c r="E25" s="203">
        <f t="shared" si="0"/>
        <v>0.8287671232876712</v>
      </c>
      <c r="F25" s="162">
        <f t="shared" si="1"/>
        <v>25</v>
      </c>
      <c r="G25" s="162">
        <v>4</v>
      </c>
      <c r="H25" s="162">
        <v>1</v>
      </c>
      <c r="I25" s="202">
        <v>20</v>
      </c>
      <c r="J25" s="162">
        <v>6</v>
      </c>
      <c r="K25" s="147">
        <f t="shared" si="2"/>
        <v>14</v>
      </c>
      <c r="L25" s="162">
        <f t="shared" si="3"/>
        <v>132</v>
      </c>
    </row>
    <row r="26" spans="1:12" s="148" customFormat="1" ht="12.75">
      <c r="A26" s="149">
        <v>90800</v>
      </c>
      <c r="B26" s="201" t="s">
        <v>421</v>
      </c>
      <c r="C26" s="202">
        <v>531</v>
      </c>
      <c r="D26" s="162">
        <v>438</v>
      </c>
      <c r="E26" s="203">
        <f t="shared" si="0"/>
        <v>0.8248587570621468</v>
      </c>
      <c r="F26" s="162">
        <f t="shared" si="1"/>
        <v>93</v>
      </c>
      <c r="G26" s="162">
        <v>23</v>
      </c>
      <c r="H26" s="162">
        <v>5</v>
      </c>
      <c r="I26" s="202">
        <v>50</v>
      </c>
      <c r="J26" s="162">
        <v>22</v>
      </c>
      <c r="K26" s="147">
        <f t="shared" si="2"/>
        <v>28</v>
      </c>
      <c r="L26" s="162">
        <f t="shared" si="3"/>
        <v>488</v>
      </c>
    </row>
    <row r="27" spans="1:12" s="148" customFormat="1" ht="12.75">
      <c r="A27" s="149">
        <v>90900</v>
      </c>
      <c r="B27" s="201" t="s">
        <v>422</v>
      </c>
      <c r="C27" s="202">
        <v>848</v>
      </c>
      <c r="D27" s="162">
        <v>752</v>
      </c>
      <c r="E27" s="203">
        <f t="shared" si="0"/>
        <v>0.8867924528301887</v>
      </c>
      <c r="F27" s="162">
        <f t="shared" si="1"/>
        <v>96</v>
      </c>
      <c r="G27" s="162">
        <v>30</v>
      </c>
      <c r="H27" s="162">
        <v>11</v>
      </c>
      <c r="I27" s="202">
        <v>41</v>
      </c>
      <c r="J27" s="162">
        <v>15</v>
      </c>
      <c r="K27" s="147">
        <f t="shared" si="2"/>
        <v>26</v>
      </c>
      <c r="L27" s="162">
        <f t="shared" si="3"/>
        <v>808</v>
      </c>
    </row>
    <row r="28" spans="1:12" s="148" customFormat="1" ht="12.75">
      <c r="A28" s="149">
        <v>90200</v>
      </c>
      <c r="B28" s="201" t="s">
        <v>423</v>
      </c>
      <c r="C28" s="202">
        <v>394</v>
      </c>
      <c r="D28" s="162">
        <v>346</v>
      </c>
      <c r="E28" s="203">
        <f t="shared" si="0"/>
        <v>0.8781725888324873</v>
      </c>
      <c r="F28" s="162">
        <f t="shared" si="1"/>
        <v>48</v>
      </c>
      <c r="G28" s="162">
        <v>20</v>
      </c>
      <c r="H28" s="162">
        <v>2</v>
      </c>
      <c r="I28" s="202">
        <v>10</v>
      </c>
      <c r="J28" s="162">
        <v>3</v>
      </c>
      <c r="K28" s="147">
        <f t="shared" si="2"/>
        <v>7</v>
      </c>
      <c r="L28" s="162">
        <f t="shared" si="3"/>
        <v>371</v>
      </c>
    </row>
    <row r="29" spans="1:12" s="148" customFormat="1" ht="12.75">
      <c r="A29" s="149">
        <v>91000</v>
      </c>
      <c r="B29" s="201" t="s">
        <v>424</v>
      </c>
      <c r="C29" s="202">
        <v>922</v>
      </c>
      <c r="D29" s="162">
        <v>802</v>
      </c>
      <c r="E29" s="203">
        <f t="shared" si="0"/>
        <v>0.8698481561822126</v>
      </c>
      <c r="F29" s="162">
        <f t="shared" si="1"/>
        <v>120</v>
      </c>
      <c r="G29" s="162">
        <v>53</v>
      </c>
      <c r="H29" s="162">
        <v>16</v>
      </c>
      <c r="I29" s="202">
        <v>31</v>
      </c>
      <c r="J29" s="162">
        <v>21</v>
      </c>
      <c r="K29" s="147">
        <f t="shared" si="2"/>
        <v>10</v>
      </c>
      <c r="L29" s="162">
        <f t="shared" si="3"/>
        <v>892</v>
      </c>
    </row>
    <row r="30" spans="1:12" s="148" customFormat="1" ht="12.75">
      <c r="A30" s="149">
        <v>91100</v>
      </c>
      <c r="B30" s="201" t="s">
        <v>425</v>
      </c>
      <c r="C30" s="202">
        <v>1408</v>
      </c>
      <c r="D30" s="162">
        <v>1183</v>
      </c>
      <c r="E30" s="203">
        <f t="shared" si="0"/>
        <v>0.8401988636363636</v>
      </c>
      <c r="F30" s="162">
        <f t="shared" si="1"/>
        <v>225</v>
      </c>
      <c r="G30" s="162">
        <v>61</v>
      </c>
      <c r="H30" s="162">
        <v>26</v>
      </c>
      <c r="I30" s="202">
        <v>49</v>
      </c>
      <c r="J30" s="162">
        <v>21</v>
      </c>
      <c r="K30" s="147">
        <f t="shared" si="2"/>
        <v>28</v>
      </c>
      <c r="L30" s="162">
        <f t="shared" si="3"/>
        <v>1291</v>
      </c>
    </row>
    <row r="31" spans="1:12" s="148" customFormat="1" ht="12.75">
      <c r="A31" s="149">
        <v>91900</v>
      </c>
      <c r="B31" s="201" t="s">
        <v>426</v>
      </c>
      <c r="C31" s="202">
        <v>226</v>
      </c>
      <c r="D31" s="162">
        <v>192</v>
      </c>
      <c r="E31" s="203">
        <f t="shared" si="0"/>
        <v>0.8495575221238938</v>
      </c>
      <c r="F31" s="162">
        <f t="shared" si="1"/>
        <v>34</v>
      </c>
      <c r="G31" s="162">
        <v>20</v>
      </c>
      <c r="H31" s="162">
        <v>4</v>
      </c>
      <c r="I31" s="202">
        <v>14</v>
      </c>
      <c r="J31" s="162">
        <v>4</v>
      </c>
      <c r="K31" s="147">
        <f t="shared" si="2"/>
        <v>10</v>
      </c>
      <c r="L31" s="162">
        <f t="shared" si="3"/>
        <v>220</v>
      </c>
    </row>
    <row r="32" spans="1:12" s="148" customFormat="1" ht="12.75">
      <c r="A32" s="149">
        <v>80600</v>
      </c>
      <c r="B32" s="201" t="s">
        <v>427</v>
      </c>
      <c r="C32" s="202">
        <v>425</v>
      </c>
      <c r="D32" s="162">
        <v>355</v>
      </c>
      <c r="E32" s="203">
        <f t="shared" si="0"/>
        <v>0.8352941176470589</v>
      </c>
      <c r="F32" s="162">
        <f t="shared" si="1"/>
        <v>70</v>
      </c>
      <c r="G32" s="162">
        <v>50</v>
      </c>
      <c r="H32" s="162">
        <v>12</v>
      </c>
      <c r="I32" s="202">
        <v>6</v>
      </c>
      <c r="J32" s="162">
        <v>5</v>
      </c>
      <c r="K32" s="147">
        <f t="shared" si="2"/>
        <v>1</v>
      </c>
      <c r="L32" s="162">
        <f t="shared" si="3"/>
        <v>422</v>
      </c>
    </row>
    <row r="33" spans="1:12" s="156" customFormat="1" ht="12.75">
      <c r="A33" s="149">
        <v>81500</v>
      </c>
      <c r="B33" s="201" t="s">
        <v>428</v>
      </c>
      <c r="C33" s="202">
        <v>137</v>
      </c>
      <c r="D33" s="162">
        <v>123</v>
      </c>
      <c r="E33" s="203">
        <f t="shared" si="0"/>
        <v>0.8978102189781022</v>
      </c>
      <c r="F33" s="162">
        <f t="shared" si="1"/>
        <v>14</v>
      </c>
      <c r="G33" s="162">
        <v>2</v>
      </c>
      <c r="H33" s="162">
        <v>2</v>
      </c>
      <c r="I33" s="202">
        <v>10</v>
      </c>
      <c r="J33" s="162">
        <v>5</v>
      </c>
      <c r="K33" s="147">
        <f t="shared" si="2"/>
        <v>5</v>
      </c>
      <c r="L33" s="162">
        <f t="shared" si="3"/>
        <v>132</v>
      </c>
    </row>
    <row r="34" spans="1:12" s="156" customFormat="1" ht="12.75">
      <c r="A34" s="157">
        <v>81100</v>
      </c>
      <c r="B34" s="201" t="s">
        <v>429</v>
      </c>
      <c r="C34" s="202">
        <v>936</v>
      </c>
      <c r="D34" s="162">
        <v>814</v>
      </c>
      <c r="E34" s="203">
        <f t="shared" si="0"/>
        <v>0.8696581196581197</v>
      </c>
      <c r="F34" s="162">
        <f t="shared" si="1"/>
        <v>122</v>
      </c>
      <c r="G34" s="162">
        <v>52</v>
      </c>
      <c r="H34" s="162">
        <v>18</v>
      </c>
      <c r="I34" s="202">
        <v>23</v>
      </c>
      <c r="J34" s="162">
        <v>14</v>
      </c>
      <c r="K34" s="147">
        <f t="shared" si="2"/>
        <v>9</v>
      </c>
      <c r="L34" s="162">
        <f t="shared" si="3"/>
        <v>898</v>
      </c>
    </row>
    <row r="35" spans="1:12" s="156" customFormat="1" ht="12.75">
      <c r="A35" s="157">
        <v>81200</v>
      </c>
      <c r="B35" s="201" t="s">
        <v>430</v>
      </c>
      <c r="C35" s="202">
        <v>256</v>
      </c>
      <c r="D35" s="162">
        <v>222</v>
      </c>
      <c r="E35" s="203">
        <f t="shared" si="0"/>
        <v>0.8671875</v>
      </c>
      <c r="F35" s="162">
        <f t="shared" si="1"/>
        <v>34</v>
      </c>
      <c r="G35" s="162">
        <v>5</v>
      </c>
      <c r="H35" s="162">
        <v>1</v>
      </c>
      <c r="I35" s="202">
        <v>12</v>
      </c>
      <c r="J35" s="162">
        <v>2</v>
      </c>
      <c r="K35" s="147">
        <f t="shared" si="2"/>
        <v>10</v>
      </c>
      <c r="L35" s="162">
        <f>D35+G35+H35+J35</f>
        <v>230</v>
      </c>
    </row>
    <row r="36" spans="1:12" s="44" customFormat="1" ht="12.75">
      <c r="A36" s="69"/>
      <c r="B36" s="57"/>
      <c r="C36" s="89" t="s">
        <v>16</v>
      </c>
      <c r="D36" s="89"/>
      <c r="E36" s="90" t="s">
        <v>95</v>
      </c>
      <c r="F36" s="89" t="s">
        <v>16</v>
      </c>
      <c r="G36" s="89" t="s">
        <v>16</v>
      </c>
      <c r="H36" s="89" t="s">
        <v>94</v>
      </c>
      <c r="I36" s="89" t="s">
        <v>17</v>
      </c>
      <c r="J36" s="89" t="s">
        <v>16</v>
      </c>
      <c r="K36" s="89" t="s">
        <v>16</v>
      </c>
      <c r="L36" s="89" t="s">
        <v>16</v>
      </c>
    </row>
    <row r="37" spans="1:12" s="44" customFormat="1" ht="12.75">
      <c r="A37" s="69"/>
      <c r="B37" s="100" t="s">
        <v>176</v>
      </c>
      <c r="C37" s="64">
        <f>SUM(C6:C35)</f>
        <v>12775</v>
      </c>
      <c r="D37" s="64">
        <f>SUM(D6:D35)</f>
        <v>10926</v>
      </c>
      <c r="E37" s="133">
        <f>D37/C37</f>
        <v>0.8552641878669276</v>
      </c>
      <c r="F37" s="64">
        <f aca="true" t="shared" si="4" ref="F37:L37">SUM(F6:F35)</f>
        <v>1849</v>
      </c>
      <c r="G37" s="64">
        <f t="shared" si="4"/>
        <v>728</v>
      </c>
      <c r="H37" s="64">
        <f>SUM(H6:H35)</f>
        <v>218</v>
      </c>
      <c r="I37" s="64">
        <f t="shared" si="4"/>
        <v>592</v>
      </c>
      <c r="J37" s="64">
        <f t="shared" si="4"/>
        <v>252</v>
      </c>
      <c r="K37" s="64">
        <f t="shared" si="4"/>
        <v>340</v>
      </c>
      <c r="L37" s="64">
        <f t="shared" si="4"/>
        <v>12124</v>
      </c>
    </row>
    <row r="38" spans="1:12" s="44" customFormat="1" ht="12">
      <c r="A38" s="69"/>
      <c r="B38" s="53"/>
      <c r="C38" s="79" t="s">
        <v>34</v>
      </c>
      <c r="D38" s="79"/>
      <c r="E38" s="53"/>
      <c r="F38" s="79"/>
      <c r="G38" s="79"/>
      <c r="H38" s="79"/>
      <c r="I38" s="79"/>
      <c r="J38" s="79"/>
      <c r="K38" s="79"/>
      <c r="L38" s="79"/>
    </row>
    <row r="39" spans="1:12" s="44" customFormat="1" ht="12">
      <c r="A39" s="69"/>
      <c r="B39" s="53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1:12" s="44" customFormat="1" ht="12">
      <c r="A40" s="69"/>
      <c r="B40" s="53"/>
      <c r="C40" s="79"/>
      <c r="D40" s="92" t="s">
        <v>622</v>
      </c>
      <c r="E40" s="53"/>
      <c r="F40" s="79" t="s">
        <v>34</v>
      </c>
      <c r="G40" s="79"/>
      <c r="H40" s="79"/>
      <c r="I40" s="79"/>
      <c r="J40" s="79"/>
      <c r="K40" s="79"/>
      <c r="L40" s="80"/>
    </row>
    <row r="41" spans="1:12" s="44" customFormat="1" ht="12">
      <c r="A41" s="69"/>
      <c r="B41" s="53"/>
      <c r="C41" s="79"/>
      <c r="D41" s="79"/>
      <c r="E41" s="53"/>
      <c r="F41" s="79" t="s">
        <v>34</v>
      </c>
      <c r="G41" s="79"/>
      <c r="H41" s="79"/>
      <c r="I41" s="79"/>
      <c r="J41" s="79"/>
      <c r="K41" s="79"/>
      <c r="L41" s="80"/>
    </row>
    <row r="42" spans="2:12" ht="12.75">
      <c r="B42" s="91" t="s">
        <v>18</v>
      </c>
      <c r="C42" s="79"/>
      <c r="D42" s="195">
        <f>C37</f>
        <v>12775</v>
      </c>
      <c r="E42" s="53"/>
      <c r="F42" s="79"/>
      <c r="G42" s="79"/>
      <c r="H42" s="78"/>
      <c r="I42" s="79"/>
      <c r="J42" s="79"/>
      <c r="K42" s="79"/>
      <c r="L42" s="80"/>
    </row>
    <row r="43" spans="2:12" ht="12.75">
      <c r="B43" s="75" t="s">
        <v>623</v>
      </c>
      <c r="C43" s="79"/>
      <c r="D43" s="195">
        <f>L37-SUM(D47:D48)-D44</f>
        <v>10926</v>
      </c>
      <c r="E43" s="53"/>
      <c r="F43" s="79"/>
      <c r="G43" s="79"/>
      <c r="H43" s="78"/>
      <c r="I43" s="79"/>
      <c r="J43" s="79"/>
      <c r="K43" s="79"/>
      <c r="L43" s="80"/>
    </row>
    <row r="44" spans="2:12" ht="12.75">
      <c r="B44" s="93" t="s">
        <v>19</v>
      </c>
      <c r="C44" s="79"/>
      <c r="D44" s="195">
        <f>H37</f>
        <v>218</v>
      </c>
      <c r="E44" s="53"/>
      <c r="F44" s="79"/>
      <c r="G44" s="79"/>
      <c r="H44" s="78"/>
      <c r="I44" s="79"/>
      <c r="J44" s="79"/>
      <c r="K44" s="79"/>
      <c r="L44" s="80"/>
    </row>
    <row r="45" spans="2:12" ht="12.75">
      <c r="B45" s="93" t="s">
        <v>20</v>
      </c>
      <c r="C45" s="79"/>
      <c r="D45" s="196">
        <f>D43/D42</f>
        <v>0.8552641878669276</v>
      </c>
      <c r="E45" s="53"/>
      <c r="F45" s="79"/>
      <c r="G45" s="79"/>
      <c r="H45" s="78"/>
      <c r="I45" s="79"/>
      <c r="J45" s="79"/>
      <c r="K45" s="79"/>
      <c r="L45" s="80"/>
    </row>
    <row r="46" spans="2:12" ht="12">
      <c r="B46" s="53"/>
      <c r="C46" s="79"/>
      <c r="D46" s="79"/>
      <c r="E46" s="53"/>
      <c r="F46" s="79"/>
      <c r="G46" s="79"/>
      <c r="H46" s="79"/>
      <c r="I46" s="79"/>
      <c r="J46" s="79"/>
      <c r="K46" s="79"/>
      <c r="L46" s="80"/>
    </row>
    <row r="47" spans="2:12" ht="12.75">
      <c r="B47" s="53" t="s">
        <v>22</v>
      </c>
      <c r="C47" s="53"/>
      <c r="D47" s="195">
        <f>G37</f>
        <v>728</v>
      </c>
      <c r="E47" s="53"/>
      <c r="F47" s="53"/>
      <c r="G47" s="53"/>
      <c r="H47" s="101"/>
      <c r="I47" s="53"/>
      <c r="J47" s="53"/>
      <c r="K47" s="53"/>
      <c r="L47" s="87"/>
    </row>
    <row r="48" spans="2:12" ht="12.75">
      <c r="B48" s="53" t="s">
        <v>23</v>
      </c>
      <c r="C48" s="53"/>
      <c r="D48" s="195">
        <f>J37</f>
        <v>252</v>
      </c>
      <c r="E48" s="53"/>
      <c r="F48" s="53"/>
      <c r="G48" s="53"/>
      <c r="H48" s="101"/>
      <c r="I48" s="53"/>
      <c r="J48" s="53"/>
      <c r="K48" s="53"/>
      <c r="L48" s="87"/>
    </row>
    <row r="49" spans="2:12" ht="12">
      <c r="B49" s="53"/>
      <c r="C49" s="53"/>
      <c r="D49" s="79"/>
      <c r="E49" s="53"/>
      <c r="F49" s="53"/>
      <c r="G49" s="53"/>
      <c r="H49" s="53"/>
      <c r="I49" s="53"/>
      <c r="J49" s="53"/>
      <c r="K49" s="53"/>
      <c r="L49" s="87"/>
    </row>
    <row r="50" spans="2:12" ht="12.75">
      <c r="B50" s="94" t="s">
        <v>143</v>
      </c>
      <c r="C50" s="53"/>
      <c r="D50" s="195">
        <f>D43+D44++D47+D48</f>
        <v>12124</v>
      </c>
      <c r="E50" s="53"/>
      <c r="F50" s="53"/>
      <c r="G50" s="53"/>
      <c r="H50" s="101"/>
      <c r="I50" s="53"/>
      <c r="J50" s="53"/>
      <c r="K50" s="53"/>
      <c r="L50" s="87"/>
    </row>
    <row r="51" ht="12">
      <c r="D51" s="66"/>
    </row>
    <row r="52" spans="2:4" ht="15">
      <c r="B52" s="211" t="s">
        <v>668</v>
      </c>
      <c r="D52" s="66"/>
    </row>
  </sheetData>
  <printOptions gridLines="1" horizontalCentered="1"/>
  <pageMargins left="0.25" right="0.26" top="0.65" bottom="0.32" header="0.38" footer="0.16"/>
  <pageSetup horizontalDpi="300" verticalDpi="300" orientation="portrait" scale="73" r:id="rId1"/>
  <headerFooter alignWithMargins="0">
    <oddHeader>&amp;C&amp;12Month Ending June 30, 2010
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workbookViewId="0" topLeftCell="A1">
      <selection activeCell="I51" sqref="I51"/>
    </sheetView>
  </sheetViews>
  <sheetFormatPr defaultColWidth="9.140625" defaultRowHeight="12.75"/>
  <cols>
    <col min="1" max="1" width="8.00390625" style="67" customWidth="1"/>
    <col min="2" max="2" width="30.421875" style="25" customWidth="1"/>
    <col min="3" max="3" width="8.00390625" style="25" customWidth="1"/>
    <col min="4" max="4" width="9.8515625" style="25" customWidth="1"/>
    <col min="5" max="5" width="9.57421875" style="25" customWidth="1"/>
    <col min="6" max="6" width="9.421875" style="25" customWidth="1"/>
    <col min="7" max="8" width="9.57421875" style="25" customWidth="1"/>
    <col min="9" max="9" width="9.421875" style="25" customWidth="1"/>
    <col min="10" max="10" width="7.57421875" style="25" customWidth="1"/>
    <col min="11" max="11" width="7.421875" style="25" customWidth="1"/>
    <col min="12" max="12" width="11.57421875" style="74" customWidth="1"/>
    <col min="13" max="16384" width="9.140625" style="25" customWidth="1"/>
  </cols>
  <sheetData>
    <row r="1" spans="1:12" s="67" customFormat="1" ht="12">
      <c r="A1" s="86" t="s">
        <v>693</v>
      </c>
      <c r="B1" s="102"/>
      <c r="C1" s="67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</row>
    <row r="2" spans="1:12" s="68" customFormat="1" ht="51">
      <c r="A2" s="71" t="s">
        <v>191</v>
      </c>
      <c r="B2" s="71" t="s">
        <v>190</v>
      </c>
      <c r="C2" s="72" t="s">
        <v>509</v>
      </c>
      <c r="D2" s="73" t="s">
        <v>305</v>
      </c>
      <c r="E2" s="73" t="s">
        <v>186</v>
      </c>
      <c r="F2" s="73" t="s">
        <v>187</v>
      </c>
      <c r="G2" s="73" t="s">
        <v>306</v>
      </c>
      <c r="H2" s="72" t="s">
        <v>621</v>
      </c>
      <c r="I2" s="72" t="s">
        <v>510</v>
      </c>
      <c r="J2" s="72" t="s">
        <v>188</v>
      </c>
      <c r="K2" s="72" t="s">
        <v>189</v>
      </c>
      <c r="L2" s="210" t="s">
        <v>667</v>
      </c>
    </row>
    <row r="3" spans="2:12" s="67" customFormat="1" ht="12">
      <c r="B3" s="88"/>
      <c r="C3" s="56"/>
      <c r="D3" s="56"/>
      <c r="E3" s="56"/>
      <c r="F3" s="56"/>
      <c r="G3" s="56"/>
      <c r="H3" s="95"/>
      <c r="I3" s="55"/>
      <c r="J3" s="96"/>
      <c r="K3" s="97"/>
      <c r="L3" s="56"/>
    </row>
    <row r="4" spans="1:12" ht="12">
      <c r="A4" s="103" t="s">
        <v>164</v>
      </c>
      <c r="C4" s="53"/>
      <c r="D4" s="53"/>
      <c r="E4" s="53"/>
      <c r="F4" s="53"/>
      <c r="G4" s="53"/>
      <c r="H4" s="53"/>
      <c r="I4" s="53"/>
      <c r="J4" s="53"/>
      <c r="K4" s="87"/>
      <c r="L4" s="53"/>
    </row>
    <row r="5" spans="2:12" ht="12.75">
      <c r="B5" s="53"/>
      <c r="C5" s="147"/>
      <c r="D5" s="162"/>
      <c r="E5" s="128"/>
      <c r="F5" s="169"/>
      <c r="G5" s="169"/>
      <c r="H5" s="162"/>
      <c r="I5" s="147"/>
      <c r="J5" s="169"/>
      <c r="K5" s="123"/>
      <c r="L5" s="130"/>
    </row>
    <row r="6" spans="1:12" s="148" customFormat="1" ht="12.75">
      <c r="A6" s="138">
        <v>101130</v>
      </c>
      <c r="B6" s="201" t="s">
        <v>431</v>
      </c>
      <c r="C6" s="202">
        <v>332</v>
      </c>
      <c r="D6" s="162">
        <v>301</v>
      </c>
      <c r="E6" s="203">
        <f>D6/C6</f>
        <v>0.9066265060240963</v>
      </c>
      <c r="F6" s="162">
        <f>C6-D6</f>
        <v>31</v>
      </c>
      <c r="G6" s="162">
        <v>22</v>
      </c>
      <c r="H6" s="162">
        <v>7</v>
      </c>
      <c r="I6" s="202">
        <v>1</v>
      </c>
      <c r="J6" s="162">
        <v>1</v>
      </c>
      <c r="K6" s="147">
        <f>I6-J6</f>
        <v>0</v>
      </c>
      <c r="L6" s="162">
        <f>D6+G6+H6+J6</f>
        <v>331</v>
      </c>
    </row>
    <row r="7" spans="1:12" s="150" customFormat="1" ht="12.75">
      <c r="A7" s="151">
        <v>100310</v>
      </c>
      <c r="B7" s="201" t="s">
        <v>432</v>
      </c>
      <c r="C7" s="202">
        <v>111</v>
      </c>
      <c r="D7" s="162">
        <v>90</v>
      </c>
      <c r="E7" s="203">
        <f aca="true" t="shared" si="0" ref="E7:E42">D7/C7</f>
        <v>0.8108108108108109</v>
      </c>
      <c r="F7" s="162">
        <f aca="true" t="shared" si="1" ref="F7:F42">C7-D7</f>
        <v>21</v>
      </c>
      <c r="G7" s="162">
        <v>9</v>
      </c>
      <c r="H7" s="162">
        <v>6</v>
      </c>
      <c r="I7" s="202">
        <v>2</v>
      </c>
      <c r="J7" s="162">
        <v>0</v>
      </c>
      <c r="K7" s="147">
        <f aca="true" t="shared" si="2" ref="K7:K42">I7-J7</f>
        <v>2</v>
      </c>
      <c r="L7" s="162">
        <f aca="true" t="shared" si="3" ref="L7:L42">D7+G7+H7+J7</f>
        <v>105</v>
      </c>
    </row>
    <row r="8" spans="1:12" s="148" customFormat="1" ht="12.75">
      <c r="A8" s="138">
        <v>120100</v>
      </c>
      <c r="B8" s="204" t="s">
        <v>433</v>
      </c>
      <c r="C8" s="212">
        <f>1006+113</f>
        <v>1119</v>
      </c>
      <c r="D8" s="162">
        <v>1023</v>
      </c>
      <c r="E8" s="203">
        <f t="shared" si="0"/>
        <v>0.9142091152815014</v>
      </c>
      <c r="F8" s="162">
        <f t="shared" si="1"/>
        <v>96</v>
      </c>
      <c r="G8" s="162">
        <v>61</v>
      </c>
      <c r="H8" s="162">
        <v>14</v>
      </c>
      <c r="I8" s="202">
        <f>17+4</f>
        <v>21</v>
      </c>
      <c r="J8" s="162">
        <v>11</v>
      </c>
      <c r="K8" s="147">
        <f t="shared" si="2"/>
        <v>10</v>
      </c>
      <c r="L8" s="162">
        <f t="shared" si="3"/>
        <v>1109</v>
      </c>
    </row>
    <row r="9" spans="1:12" s="148" customFormat="1" ht="12.75">
      <c r="A9" s="151">
        <v>100100</v>
      </c>
      <c r="B9" s="201" t="s">
        <v>434</v>
      </c>
      <c r="C9" s="202">
        <v>340</v>
      </c>
      <c r="D9" s="162">
        <v>289</v>
      </c>
      <c r="E9" s="203">
        <f t="shared" si="0"/>
        <v>0.85</v>
      </c>
      <c r="F9" s="162">
        <f t="shared" si="1"/>
        <v>51</v>
      </c>
      <c r="G9" s="162">
        <v>13</v>
      </c>
      <c r="H9" s="162">
        <v>7</v>
      </c>
      <c r="I9" s="202">
        <v>24</v>
      </c>
      <c r="J9" s="162">
        <v>7</v>
      </c>
      <c r="K9" s="147">
        <f t="shared" si="2"/>
        <v>17</v>
      </c>
      <c r="L9" s="162">
        <f t="shared" si="3"/>
        <v>316</v>
      </c>
    </row>
    <row r="10" spans="1:12" s="148" customFormat="1" ht="12.75">
      <c r="A10" s="151">
        <v>100200</v>
      </c>
      <c r="B10" s="201" t="s">
        <v>435</v>
      </c>
      <c r="C10" s="202">
        <v>180</v>
      </c>
      <c r="D10" s="162">
        <v>149</v>
      </c>
      <c r="E10" s="203">
        <f t="shared" si="0"/>
        <v>0.8277777777777777</v>
      </c>
      <c r="F10" s="162">
        <f t="shared" si="1"/>
        <v>31</v>
      </c>
      <c r="G10" s="162">
        <v>9</v>
      </c>
      <c r="H10" s="162">
        <v>2</v>
      </c>
      <c r="I10" s="202">
        <v>22</v>
      </c>
      <c r="J10" s="162">
        <v>7</v>
      </c>
      <c r="K10" s="147">
        <f t="shared" si="2"/>
        <v>15</v>
      </c>
      <c r="L10" s="162">
        <f t="shared" si="3"/>
        <v>167</v>
      </c>
    </row>
    <row r="11" spans="1:12" s="148" customFormat="1" ht="12.75">
      <c r="A11" s="151">
        <v>100610</v>
      </c>
      <c r="B11" s="201" t="s">
        <v>436</v>
      </c>
      <c r="C11" s="202">
        <v>35</v>
      </c>
      <c r="D11" s="162">
        <v>33</v>
      </c>
      <c r="E11" s="203">
        <f t="shared" si="0"/>
        <v>0.9428571428571428</v>
      </c>
      <c r="F11" s="162">
        <f t="shared" si="1"/>
        <v>2</v>
      </c>
      <c r="G11" s="162">
        <v>1</v>
      </c>
      <c r="H11" s="162">
        <v>0</v>
      </c>
      <c r="I11" s="202">
        <f>0+1+1</f>
        <v>2</v>
      </c>
      <c r="J11" s="162">
        <v>2</v>
      </c>
      <c r="K11" s="147">
        <f t="shared" si="2"/>
        <v>0</v>
      </c>
      <c r="L11" s="162">
        <f t="shared" si="3"/>
        <v>36</v>
      </c>
    </row>
    <row r="12" spans="1:12" s="148" customFormat="1" ht="12.75">
      <c r="A12" s="151">
        <v>100300</v>
      </c>
      <c r="B12" s="201" t="s">
        <v>437</v>
      </c>
      <c r="C12" s="202">
        <v>361</v>
      </c>
      <c r="D12" s="162">
        <v>305</v>
      </c>
      <c r="E12" s="203">
        <f t="shared" si="0"/>
        <v>0.8448753462603878</v>
      </c>
      <c r="F12" s="162">
        <f t="shared" si="1"/>
        <v>56</v>
      </c>
      <c r="G12" s="162">
        <v>16</v>
      </c>
      <c r="H12" s="162">
        <v>8</v>
      </c>
      <c r="I12" s="202">
        <v>18</v>
      </c>
      <c r="J12" s="162">
        <v>9</v>
      </c>
      <c r="K12" s="147">
        <f t="shared" si="2"/>
        <v>9</v>
      </c>
      <c r="L12" s="162">
        <f t="shared" si="3"/>
        <v>338</v>
      </c>
    </row>
    <row r="13" spans="1:12" s="148" customFormat="1" ht="12.75">
      <c r="A13" s="151">
        <v>101110</v>
      </c>
      <c r="B13" s="201" t="s">
        <v>438</v>
      </c>
      <c r="C13" s="202">
        <v>233</v>
      </c>
      <c r="D13" s="162">
        <v>141</v>
      </c>
      <c r="E13" s="203">
        <f t="shared" si="0"/>
        <v>0.6051502145922747</v>
      </c>
      <c r="F13" s="162">
        <f t="shared" si="1"/>
        <v>92</v>
      </c>
      <c r="G13" s="162">
        <v>6</v>
      </c>
      <c r="H13" s="162">
        <v>2</v>
      </c>
      <c r="I13" s="202">
        <v>69</v>
      </c>
      <c r="J13" s="162">
        <v>12</v>
      </c>
      <c r="K13" s="147">
        <f t="shared" si="2"/>
        <v>57</v>
      </c>
      <c r="L13" s="162">
        <f t="shared" si="3"/>
        <v>161</v>
      </c>
    </row>
    <row r="14" spans="1:12" s="148" customFormat="1" ht="12.75">
      <c r="A14" s="151">
        <v>120200</v>
      </c>
      <c r="B14" s="201" t="s">
        <v>439</v>
      </c>
      <c r="C14" s="202">
        <v>334</v>
      </c>
      <c r="D14" s="162">
        <v>266</v>
      </c>
      <c r="E14" s="203">
        <f t="shared" si="0"/>
        <v>0.7964071856287425</v>
      </c>
      <c r="F14" s="162">
        <f t="shared" si="1"/>
        <v>68</v>
      </c>
      <c r="G14" s="162">
        <v>19</v>
      </c>
      <c r="H14" s="162">
        <v>6</v>
      </c>
      <c r="I14" s="202">
        <v>28</v>
      </c>
      <c r="J14" s="162">
        <v>5</v>
      </c>
      <c r="K14" s="147">
        <f t="shared" si="2"/>
        <v>23</v>
      </c>
      <c r="L14" s="162">
        <f t="shared" si="3"/>
        <v>296</v>
      </c>
    </row>
    <row r="15" spans="1:12" s="148" customFormat="1" ht="12.75">
      <c r="A15" s="151">
        <v>100400</v>
      </c>
      <c r="B15" s="201" t="s">
        <v>440</v>
      </c>
      <c r="C15" s="202">
        <v>354</v>
      </c>
      <c r="D15" s="162">
        <v>280</v>
      </c>
      <c r="E15" s="203">
        <f t="shared" si="0"/>
        <v>0.7909604519774012</v>
      </c>
      <c r="F15" s="162">
        <f t="shared" si="1"/>
        <v>74</v>
      </c>
      <c r="G15" s="162">
        <v>11</v>
      </c>
      <c r="H15" s="162">
        <v>6</v>
      </c>
      <c r="I15" s="202">
        <v>28</v>
      </c>
      <c r="J15" s="162">
        <v>7</v>
      </c>
      <c r="K15" s="147">
        <f t="shared" si="2"/>
        <v>21</v>
      </c>
      <c r="L15" s="162">
        <f t="shared" si="3"/>
        <v>304</v>
      </c>
    </row>
    <row r="16" spans="1:12" s="148" customFormat="1" ht="12.75">
      <c r="A16" s="151">
        <v>101300</v>
      </c>
      <c r="B16" s="201" t="s">
        <v>441</v>
      </c>
      <c r="C16" s="202">
        <v>468</v>
      </c>
      <c r="D16" s="162">
        <v>410</v>
      </c>
      <c r="E16" s="203">
        <f t="shared" si="0"/>
        <v>0.8760683760683761</v>
      </c>
      <c r="F16" s="162">
        <f t="shared" si="1"/>
        <v>58</v>
      </c>
      <c r="G16" s="162">
        <v>20</v>
      </c>
      <c r="H16" s="162">
        <v>6</v>
      </c>
      <c r="I16" s="202">
        <v>19</v>
      </c>
      <c r="J16" s="162">
        <v>8</v>
      </c>
      <c r="K16" s="147">
        <f t="shared" si="2"/>
        <v>11</v>
      </c>
      <c r="L16" s="162">
        <f t="shared" si="3"/>
        <v>444</v>
      </c>
    </row>
    <row r="17" spans="1:12" s="148" customFormat="1" ht="12.75">
      <c r="A17" s="151">
        <v>101120</v>
      </c>
      <c r="B17" s="201" t="s">
        <v>442</v>
      </c>
      <c r="C17" s="202">
        <v>70</v>
      </c>
      <c r="D17" s="162">
        <v>64</v>
      </c>
      <c r="E17" s="203">
        <f t="shared" si="0"/>
        <v>0.9142857142857143</v>
      </c>
      <c r="F17" s="162">
        <f t="shared" si="1"/>
        <v>6</v>
      </c>
      <c r="G17" s="162">
        <v>3</v>
      </c>
      <c r="H17" s="162">
        <v>0</v>
      </c>
      <c r="I17" s="202">
        <v>0</v>
      </c>
      <c r="J17" s="162">
        <v>0</v>
      </c>
      <c r="K17" s="147">
        <f t="shared" si="2"/>
        <v>0</v>
      </c>
      <c r="L17" s="162">
        <f t="shared" si="3"/>
        <v>67</v>
      </c>
    </row>
    <row r="18" spans="1:12" s="148" customFormat="1" ht="12.75">
      <c r="A18" s="151">
        <v>120300</v>
      </c>
      <c r="B18" s="201" t="s">
        <v>443</v>
      </c>
      <c r="C18" s="202">
        <v>1195</v>
      </c>
      <c r="D18" s="162">
        <v>1049</v>
      </c>
      <c r="E18" s="203">
        <f t="shared" si="0"/>
        <v>0.8778242677824267</v>
      </c>
      <c r="F18" s="162">
        <f t="shared" si="1"/>
        <v>146</v>
      </c>
      <c r="G18" s="162">
        <v>80</v>
      </c>
      <c r="H18" s="162">
        <v>25</v>
      </c>
      <c r="I18" s="202">
        <v>32</v>
      </c>
      <c r="J18" s="162">
        <v>19</v>
      </c>
      <c r="K18" s="147">
        <f t="shared" si="2"/>
        <v>13</v>
      </c>
      <c r="L18" s="162">
        <f t="shared" si="3"/>
        <v>1173</v>
      </c>
    </row>
    <row r="19" spans="1:12" s="148" customFormat="1" ht="12.75">
      <c r="A19" s="151">
        <v>101500</v>
      </c>
      <c r="B19" s="201" t="s">
        <v>444</v>
      </c>
      <c r="C19" s="202">
        <v>150</v>
      </c>
      <c r="D19" s="162">
        <v>110</v>
      </c>
      <c r="E19" s="203">
        <f t="shared" si="0"/>
        <v>0.7333333333333333</v>
      </c>
      <c r="F19" s="162">
        <f t="shared" si="1"/>
        <v>40</v>
      </c>
      <c r="G19" s="162">
        <v>12</v>
      </c>
      <c r="H19" s="162">
        <v>4</v>
      </c>
      <c r="I19" s="202">
        <v>20</v>
      </c>
      <c r="J19" s="162">
        <v>7</v>
      </c>
      <c r="K19" s="147">
        <f t="shared" si="2"/>
        <v>13</v>
      </c>
      <c r="L19" s="162">
        <f t="shared" si="3"/>
        <v>133</v>
      </c>
    </row>
    <row r="20" spans="1:12" s="148" customFormat="1" ht="12.75">
      <c r="A20" s="151">
        <v>100220</v>
      </c>
      <c r="B20" s="201" t="s">
        <v>445</v>
      </c>
      <c r="C20" s="202">
        <v>161</v>
      </c>
      <c r="D20" s="162">
        <v>127</v>
      </c>
      <c r="E20" s="203">
        <f t="shared" si="0"/>
        <v>0.7888198757763976</v>
      </c>
      <c r="F20" s="162">
        <f t="shared" si="1"/>
        <v>34</v>
      </c>
      <c r="G20" s="162">
        <v>9</v>
      </c>
      <c r="H20" s="162">
        <v>2</v>
      </c>
      <c r="I20" s="202">
        <v>9</v>
      </c>
      <c r="J20" s="162">
        <v>2</v>
      </c>
      <c r="K20" s="147">
        <f t="shared" si="2"/>
        <v>7</v>
      </c>
      <c r="L20" s="162">
        <f t="shared" si="3"/>
        <v>140</v>
      </c>
    </row>
    <row r="21" spans="1:12" s="148" customFormat="1" ht="12.75">
      <c r="A21" s="151">
        <v>100801</v>
      </c>
      <c r="B21" s="201" t="s">
        <v>311</v>
      </c>
      <c r="C21" s="202">
        <v>47</v>
      </c>
      <c r="D21" s="162">
        <v>29</v>
      </c>
      <c r="E21" s="203">
        <f t="shared" si="0"/>
        <v>0.6170212765957447</v>
      </c>
      <c r="F21" s="162">
        <f t="shared" si="1"/>
        <v>18</v>
      </c>
      <c r="G21" s="162">
        <v>3</v>
      </c>
      <c r="H21" s="162">
        <v>1</v>
      </c>
      <c r="I21" s="202">
        <v>10</v>
      </c>
      <c r="J21" s="162">
        <v>2</v>
      </c>
      <c r="K21" s="147">
        <f t="shared" si="2"/>
        <v>8</v>
      </c>
      <c r="L21" s="162">
        <f t="shared" si="3"/>
        <v>35</v>
      </c>
    </row>
    <row r="22" spans="1:12" s="148" customFormat="1" ht="12.75">
      <c r="A22" s="151">
        <v>101140</v>
      </c>
      <c r="B22" s="201" t="s">
        <v>446</v>
      </c>
      <c r="C22" s="202">
        <v>129</v>
      </c>
      <c r="D22" s="162">
        <v>119</v>
      </c>
      <c r="E22" s="203">
        <f t="shared" si="0"/>
        <v>0.9224806201550387</v>
      </c>
      <c r="F22" s="162">
        <f t="shared" si="1"/>
        <v>10</v>
      </c>
      <c r="G22" s="162">
        <v>7</v>
      </c>
      <c r="H22" s="162">
        <v>4</v>
      </c>
      <c r="I22" s="202">
        <v>2</v>
      </c>
      <c r="J22" s="162">
        <v>1</v>
      </c>
      <c r="K22" s="147">
        <f t="shared" si="2"/>
        <v>1</v>
      </c>
      <c r="L22" s="162">
        <f t="shared" si="3"/>
        <v>131</v>
      </c>
    </row>
    <row r="23" spans="1:12" s="148" customFormat="1" ht="12.75">
      <c r="A23" s="151">
        <v>100500</v>
      </c>
      <c r="B23" s="201" t="s">
        <v>447</v>
      </c>
      <c r="C23" s="202">
        <f>117+2+4+1+3</f>
        <v>127</v>
      </c>
      <c r="D23" s="162">
        <v>127</v>
      </c>
      <c r="E23" s="203">
        <f t="shared" si="0"/>
        <v>1</v>
      </c>
      <c r="F23" s="162">
        <f>C23-D23</f>
        <v>0</v>
      </c>
      <c r="G23" s="162">
        <v>135</v>
      </c>
      <c r="H23" s="162">
        <v>7</v>
      </c>
      <c r="I23" s="202">
        <v>31</v>
      </c>
      <c r="J23" s="162">
        <v>5</v>
      </c>
      <c r="K23" s="147">
        <f t="shared" si="2"/>
        <v>26</v>
      </c>
      <c r="L23" s="162">
        <f t="shared" si="3"/>
        <v>274</v>
      </c>
    </row>
    <row r="24" spans="1:12" s="148" customFormat="1" ht="12.75">
      <c r="A24" s="151">
        <v>100600</v>
      </c>
      <c r="B24" s="201" t="s">
        <v>448</v>
      </c>
      <c r="C24" s="202">
        <v>507</v>
      </c>
      <c r="D24" s="162">
        <v>442</v>
      </c>
      <c r="E24" s="203">
        <f t="shared" si="0"/>
        <v>0.8717948717948718</v>
      </c>
      <c r="F24" s="162">
        <f t="shared" si="1"/>
        <v>65</v>
      </c>
      <c r="G24" s="162">
        <v>21</v>
      </c>
      <c r="H24" s="162">
        <v>7</v>
      </c>
      <c r="I24" s="202">
        <v>12</v>
      </c>
      <c r="J24" s="162">
        <v>8</v>
      </c>
      <c r="K24" s="147">
        <f t="shared" si="2"/>
        <v>4</v>
      </c>
      <c r="L24" s="162">
        <f t="shared" si="3"/>
        <v>478</v>
      </c>
    </row>
    <row r="25" spans="1:12" s="148" customFormat="1" ht="12.75">
      <c r="A25" s="151">
        <v>100501</v>
      </c>
      <c r="B25" s="201" t="s">
        <v>449</v>
      </c>
      <c r="C25" s="202">
        <v>38</v>
      </c>
      <c r="D25" s="162">
        <v>16</v>
      </c>
      <c r="E25" s="203">
        <f t="shared" si="0"/>
        <v>0.42105263157894735</v>
      </c>
      <c r="F25" s="162">
        <f t="shared" si="1"/>
        <v>22</v>
      </c>
      <c r="G25" s="162">
        <v>13</v>
      </c>
      <c r="H25" s="162">
        <v>0</v>
      </c>
      <c r="I25" s="202">
        <v>3</v>
      </c>
      <c r="J25" s="162">
        <v>2</v>
      </c>
      <c r="K25" s="147">
        <f>I25-J25</f>
        <v>1</v>
      </c>
      <c r="L25" s="162">
        <f t="shared" si="3"/>
        <v>31</v>
      </c>
    </row>
    <row r="26" spans="1:12" s="148" customFormat="1" ht="12.75">
      <c r="A26" s="151">
        <v>120400</v>
      </c>
      <c r="B26" s="201" t="s">
        <v>450</v>
      </c>
      <c r="C26" s="202">
        <v>472</v>
      </c>
      <c r="D26" s="162">
        <v>420</v>
      </c>
      <c r="E26" s="203">
        <f t="shared" si="0"/>
        <v>0.8898305084745762</v>
      </c>
      <c r="F26" s="162">
        <f t="shared" si="1"/>
        <v>52</v>
      </c>
      <c r="G26" s="162">
        <v>29</v>
      </c>
      <c r="H26" s="162">
        <v>12</v>
      </c>
      <c r="I26" s="202">
        <v>16</v>
      </c>
      <c r="J26" s="162">
        <v>10</v>
      </c>
      <c r="K26" s="147">
        <f t="shared" si="2"/>
        <v>6</v>
      </c>
      <c r="L26" s="162">
        <f t="shared" si="3"/>
        <v>471</v>
      </c>
    </row>
    <row r="27" spans="1:12" s="148" customFormat="1" ht="12.75">
      <c r="A27" s="151">
        <v>100700</v>
      </c>
      <c r="B27" s="201" t="s">
        <v>451</v>
      </c>
      <c r="C27" s="202">
        <v>479</v>
      </c>
      <c r="D27" s="162">
        <v>436</v>
      </c>
      <c r="E27" s="203">
        <f t="shared" si="0"/>
        <v>0.9102296450939458</v>
      </c>
      <c r="F27" s="162">
        <f t="shared" si="1"/>
        <v>43</v>
      </c>
      <c r="G27" s="162">
        <v>18</v>
      </c>
      <c r="H27" s="162">
        <v>10</v>
      </c>
      <c r="I27" s="202">
        <v>6</v>
      </c>
      <c r="J27" s="162">
        <v>5</v>
      </c>
      <c r="K27" s="147">
        <f t="shared" si="2"/>
        <v>1</v>
      </c>
      <c r="L27" s="162">
        <f t="shared" si="3"/>
        <v>469</v>
      </c>
    </row>
    <row r="28" spans="1:12" s="148" customFormat="1" ht="12.75">
      <c r="A28" s="151">
        <v>100800</v>
      </c>
      <c r="B28" s="201" t="s">
        <v>452</v>
      </c>
      <c r="C28" s="202">
        <v>932</v>
      </c>
      <c r="D28" s="162">
        <v>808</v>
      </c>
      <c r="E28" s="203">
        <f t="shared" si="0"/>
        <v>0.8669527896995708</v>
      </c>
      <c r="F28" s="162">
        <f t="shared" si="1"/>
        <v>124</v>
      </c>
      <c r="G28" s="162">
        <v>57</v>
      </c>
      <c r="H28" s="162">
        <v>19</v>
      </c>
      <c r="I28" s="202">
        <v>30</v>
      </c>
      <c r="J28" s="162">
        <v>21</v>
      </c>
      <c r="K28" s="147">
        <f t="shared" si="2"/>
        <v>9</v>
      </c>
      <c r="L28" s="162">
        <f t="shared" si="3"/>
        <v>905</v>
      </c>
    </row>
    <row r="29" spans="1:12" s="148" customFormat="1" ht="12.75">
      <c r="A29" s="151">
        <v>120900</v>
      </c>
      <c r="B29" s="201" t="s">
        <v>453</v>
      </c>
      <c r="C29" s="202">
        <v>147</v>
      </c>
      <c r="D29" s="162">
        <v>124</v>
      </c>
      <c r="E29" s="203">
        <f t="shared" si="0"/>
        <v>0.8435374149659864</v>
      </c>
      <c r="F29" s="162">
        <f t="shared" si="1"/>
        <v>23</v>
      </c>
      <c r="G29" s="162">
        <v>9</v>
      </c>
      <c r="H29" s="162">
        <v>1</v>
      </c>
      <c r="I29" s="147">
        <f>1+1</f>
        <v>2</v>
      </c>
      <c r="J29" s="162">
        <v>2</v>
      </c>
      <c r="K29" s="147">
        <f t="shared" si="2"/>
        <v>0</v>
      </c>
      <c r="L29" s="162">
        <f t="shared" si="3"/>
        <v>136</v>
      </c>
    </row>
    <row r="30" spans="1:12" s="148" customFormat="1" ht="12.75">
      <c r="A30" s="151">
        <v>101150</v>
      </c>
      <c r="B30" s="201" t="s">
        <v>454</v>
      </c>
      <c r="C30" s="202">
        <v>1022</v>
      </c>
      <c r="D30" s="162">
        <v>922</v>
      </c>
      <c r="E30" s="203">
        <f t="shared" si="0"/>
        <v>0.9021526418786693</v>
      </c>
      <c r="F30" s="162">
        <f t="shared" si="1"/>
        <v>100</v>
      </c>
      <c r="G30" s="162">
        <v>78</v>
      </c>
      <c r="H30" s="162">
        <v>19</v>
      </c>
      <c r="I30" s="147">
        <f>7+2+2+2+1</f>
        <v>14</v>
      </c>
      <c r="J30" s="162">
        <v>14</v>
      </c>
      <c r="K30" s="147">
        <f t="shared" si="2"/>
        <v>0</v>
      </c>
      <c r="L30" s="162">
        <f t="shared" si="3"/>
        <v>1033</v>
      </c>
    </row>
    <row r="31" spans="1:12" s="148" customFormat="1" ht="12.75">
      <c r="A31" s="151">
        <v>101400</v>
      </c>
      <c r="B31" s="201" t="s">
        <v>455</v>
      </c>
      <c r="C31" s="202">
        <v>206</v>
      </c>
      <c r="D31" s="162">
        <v>151</v>
      </c>
      <c r="E31" s="203">
        <f t="shared" si="0"/>
        <v>0.7330097087378641</v>
      </c>
      <c r="F31" s="162">
        <f t="shared" si="1"/>
        <v>55</v>
      </c>
      <c r="G31" s="162">
        <v>13</v>
      </c>
      <c r="H31" s="162">
        <v>2</v>
      </c>
      <c r="I31" s="147">
        <v>40</v>
      </c>
      <c r="J31" s="162">
        <v>5</v>
      </c>
      <c r="K31" s="147">
        <f t="shared" si="2"/>
        <v>35</v>
      </c>
      <c r="L31" s="162">
        <f t="shared" si="3"/>
        <v>171</v>
      </c>
    </row>
    <row r="32" spans="1:12" s="148" customFormat="1" ht="12.75">
      <c r="A32" s="151">
        <v>101220</v>
      </c>
      <c r="B32" s="201" t="s">
        <v>456</v>
      </c>
      <c r="C32" s="202">
        <v>72</v>
      </c>
      <c r="D32" s="162">
        <v>55</v>
      </c>
      <c r="E32" s="203">
        <f t="shared" si="0"/>
        <v>0.7638888888888888</v>
      </c>
      <c r="F32" s="162">
        <f t="shared" si="1"/>
        <v>17</v>
      </c>
      <c r="G32" s="162">
        <v>5</v>
      </c>
      <c r="H32" s="162">
        <v>3</v>
      </c>
      <c r="I32" s="147">
        <f>2+1</f>
        <v>3</v>
      </c>
      <c r="J32" s="162">
        <v>2</v>
      </c>
      <c r="K32" s="147">
        <f t="shared" si="2"/>
        <v>1</v>
      </c>
      <c r="L32" s="162">
        <f t="shared" si="3"/>
        <v>65</v>
      </c>
    </row>
    <row r="33" spans="1:12" s="148" customFormat="1" ht="12.75">
      <c r="A33" s="151">
        <v>120500</v>
      </c>
      <c r="B33" s="201" t="s">
        <v>457</v>
      </c>
      <c r="C33" s="202">
        <v>170</v>
      </c>
      <c r="D33" s="162">
        <v>153</v>
      </c>
      <c r="E33" s="203">
        <f t="shared" si="0"/>
        <v>0.9</v>
      </c>
      <c r="F33" s="162">
        <f t="shared" si="1"/>
        <v>17</v>
      </c>
      <c r="G33" s="162">
        <v>10</v>
      </c>
      <c r="H33" s="162">
        <v>6</v>
      </c>
      <c r="I33" s="147">
        <v>9</v>
      </c>
      <c r="J33" s="162">
        <v>8</v>
      </c>
      <c r="K33" s="147">
        <f t="shared" si="2"/>
        <v>1</v>
      </c>
      <c r="L33" s="162">
        <f t="shared" si="3"/>
        <v>177</v>
      </c>
    </row>
    <row r="34" spans="1:12" s="148" customFormat="1" ht="12.75">
      <c r="A34" s="151">
        <v>120600</v>
      </c>
      <c r="B34" s="201" t="s">
        <v>458</v>
      </c>
      <c r="C34" s="202">
        <v>140</v>
      </c>
      <c r="D34" s="162">
        <v>116</v>
      </c>
      <c r="E34" s="203">
        <f t="shared" si="0"/>
        <v>0.8285714285714286</v>
      </c>
      <c r="F34" s="162">
        <f t="shared" si="1"/>
        <v>24</v>
      </c>
      <c r="G34" s="162">
        <v>12</v>
      </c>
      <c r="H34" s="162">
        <v>1</v>
      </c>
      <c r="I34" s="147">
        <v>8</v>
      </c>
      <c r="J34" s="162">
        <v>4</v>
      </c>
      <c r="K34" s="147">
        <f t="shared" si="2"/>
        <v>4</v>
      </c>
      <c r="L34" s="162">
        <f t="shared" si="3"/>
        <v>133</v>
      </c>
    </row>
    <row r="35" spans="1:12" s="148" customFormat="1" ht="12.75">
      <c r="A35" s="151">
        <v>100910</v>
      </c>
      <c r="B35" s="201" t="s">
        <v>459</v>
      </c>
      <c r="C35" s="202">
        <v>64</v>
      </c>
      <c r="D35" s="162">
        <v>56</v>
      </c>
      <c r="E35" s="203">
        <f t="shared" si="0"/>
        <v>0.875</v>
      </c>
      <c r="F35" s="162">
        <f t="shared" si="1"/>
        <v>8</v>
      </c>
      <c r="G35" s="162">
        <v>7</v>
      </c>
      <c r="H35" s="162">
        <v>2</v>
      </c>
      <c r="I35" s="147">
        <v>0</v>
      </c>
      <c r="J35" s="162">
        <v>0</v>
      </c>
      <c r="K35" s="147">
        <f t="shared" si="2"/>
        <v>0</v>
      </c>
      <c r="L35" s="162">
        <f t="shared" si="3"/>
        <v>65</v>
      </c>
    </row>
    <row r="36" spans="1:12" s="148" customFormat="1" ht="12.75">
      <c r="A36" s="151">
        <v>100900</v>
      </c>
      <c r="B36" s="201" t="s">
        <v>460</v>
      </c>
      <c r="C36" s="202">
        <v>142</v>
      </c>
      <c r="D36" s="162">
        <v>117</v>
      </c>
      <c r="E36" s="203">
        <f t="shared" si="0"/>
        <v>0.823943661971831</v>
      </c>
      <c r="F36" s="162">
        <f t="shared" si="1"/>
        <v>25</v>
      </c>
      <c r="G36" s="162">
        <v>10</v>
      </c>
      <c r="H36" s="162">
        <v>3</v>
      </c>
      <c r="I36" s="147">
        <v>11</v>
      </c>
      <c r="J36" s="162">
        <v>2</v>
      </c>
      <c r="K36" s="147">
        <f t="shared" si="2"/>
        <v>9</v>
      </c>
      <c r="L36" s="162">
        <f t="shared" si="3"/>
        <v>132</v>
      </c>
    </row>
    <row r="37" spans="1:12" s="148" customFormat="1" ht="12.75">
      <c r="A37" s="151">
        <v>101000</v>
      </c>
      <c r="B37" s="201" t="s">
        <v>461</v>
      </c>
      <c r="C37" s="202">
        <v>333</v>
      </c>
      <c r="D37" s="162">
        <v>318</v>
      </c>
      <c r="E37" s="203">
        <f t="shared" si="0"/>
        <v>0.954954954954955</v>
      </c>
      <c r="F37" s="162">
        <f t="shared" si="1"/>
        <v>15</v>
      </c>
      <c r="G37" s="162">
        <v>21</v>
      </c>
      <c r="H37" s="162">
        <v>8</v>
      </c>
      <c r="I37" s="147">
        <v>10</v>
      </c>
      <c r="J37" s="162">
        <v>6</v>
      </c>
      <c r="K37" s="147">
        <f t="shared" si="2"/>
        <v>4</v>
      </c>
      <c r="L37" s="162">
        <f t="shared" si="3"/>
        <v>353</v>
      </c>
    </row>
    <row r="38" spans="1:12" s="148" customFormat="1" ht="12.75">
      <c r="A38" s="151">
        <v>101100</v>
      </c>
      <c r="B38" s="201" t="s">
        <v>462</v>
      </c>
      <c r="C38" s="202">
        <v>2471</v>
      </c>
      <c r="D38" s="162">
        <v>2096</v>
      </c>
      <c r="E38" s="203">
        <f t="shared" si="0"/>
        <v>0.848239579117766</v>
      </c>
      <c r="F38" s="162">
        <f t="shared" si="1"/>
        <v>375</v>
      </c>
      <c r="G38" s="162">
        <v>168</v>
      </c>
      <c r="H38" s="162">
        <v>67</v>
      </c>
      <c r="I38" s="147">
        <v>48</v>
      </c>
      <c r="J38" s="162">
        <v>30</v>
      </c>
      <c r="K38" s="147">
        <f t="shared" si="2"/>
        <v>18</v>
      </c>
      <c r="L38" s="162">
        <f t="shared" si="3"/>
        <v>2361</v>
      </c>
    </row>
    <row r="39" spans="1:12" s="148" customFormat="1" ht="12.75">
      <c r="A39" s="151">
        <v>101101</v>
      </c>
      <c r="B39" s="201" t="s">
        <v>313</v>
      </c>
      <c r="C39" s="202">
        <v>181</v>
      </c>
      <c r="D39" s="162">
        <v>153</v>
      </c>
      <c r="E39" s="203">
        <f t="shared" si="0"/>
        <v>0.8453038674033149</v>
      </c>
      <c r="F39" s="162">
        <f t="shared" si="1"/>
        <v>28</v>
      </c>
      <c r="G39" s="162">
        <v>15</v>
      </c>
      <c r="H39" s="162">
        <v>7</v>
      </c>
      <c r="I39" s="147">
        <f>1+2</f>
        <v>3</v>
      </c>
      <c r="J39" s="162">
        <v>3</v>
      </c>
      <c r="K39" s="147">
        <f t="shared" si="2"/>
        <v>0</v>
      </c>
      <c r="L39" s="162">
        <f t="shared" si="3"/>
        <v>178</v>
      </c>
    </row>
    <row r="40" spans="1:12" s="148" customFormat="1" ht="12.75">
      <c r="A40" s="151">
        <v>120800</v>
      </c>
      <c r="B40" s="201" t="s">
        <v>463</v>
      </c>
      <c r="C40" s="202">
        <v>549</v>
      </c>
      <c r="D40" s="162">
        <v>438</v>
      </c>
      <c r="E40" s="203">
        <f t="shared" si="0"/>
        <v>0.7978142076502732</v>
      </c>
      <c r="F40" s="162">
        <f t="shared" si="1"/>
        <v>111</v>
      </c>
      <c r="G40" s="162">
        <v>26</v>
      </c>
      <c r="H40" s="162">
        <v>11</v>
      </c>
      <c r="I40" s="147">
        <v>46</v>
      </c>
      <c r="J40" s="162">
        <v>13</v>
      </c>
      <c r="K40" s="147">
        <f t="shared" si="2"/>
        <v>33</v>
      </c>
      <c r="L40" s="162">
        <f t="shared" si="3"/>
        <v>488</v>
      </c>
    </row>
    <row r="41" spans="1:12" s="156" customFormat="1" ht="12.75">
      <c r="A41" s="151">
        <v>101200</v>
      </c>
      <c r="B41" s="201" t="s">
        <v>464</v>
      </c>
      <c r="C41" s="202">
        <v>561</v>
      </c>
      <c r="D41" s="162">
        <v>486</v>
      </c>
      <c r="E41" s="203">
        <f t="shared" si="0"/>
        <v>0.8663101604278075</v>
      </c>
      <c r="F41" s="162">
        <f t="shared" si="1"/>
        <v>75</v>
      </c>
      <c r="G41" s="162">
        <v>28</v>
      </c>
      <c r="H41" s="162">
        <v>15</v>
      </c>
      <c r="I41" s="147">
        <v>36</v>
      </c>
      <c r="J41" s="162">
        <v>12</v>
      </c>
      <c r="K41" s="147">
        <f t="shared" si="2"/>
        <v>24</v>
      </c>
      <c r="L41" s="162">
        <f t="shared" si="3"/>
        <v>541</v>
      </c>
    </row>
    <row r="42" spans="1:12" s="156" customFormat="1" ht="12.75">
      <c r="A42" s="158">
        <v>101160</v>
      </c>
      <c r="B42" s="201" t="s">
        <v>465</v>
      </c>
      <c r="C42" s="202">
        <v>208</v>
      </c>
      <c r="D42" s="162">
        <v>152</v>
      </c>
      <c r="E42" s="203">
        <f t="shared" si="0"/>
        <v>0.7307692307692307</v>
      </c>
      <c r="F42" s="162">
        <f t="shared" si="1"/>
        <v>56</v>
      </c>
      <c r="G42" s="162">
        <v>15</v>
      </c>
      <c r="H42" s="162">
        <v>8</v>
      </c>
      <c r="I42" s="147">
        <f>2+1</f>
        <v>3</v>
      </c>
      <c r="J42" s="162">
        <v>3</v>
      </c>
      <c r="K42" s="147">
        <f t="shared" si="2"/>
        <v>0</v>
      </c>
      <c r="L42" s="162">
        <f t="shared" si="3"/>
        <v>178</v>
      </c>
    </row>
    <row r="43" spans="2:12" ht="12.75">
      <c r="B43" s="57"/>
      <c r="C43" s="89" t="s">
        <v>16</v>
      </c>
      <c r="D43" s="89" t="s">
        <v>16</v>
      </c>
      <c r="E43" s="90" t="s">
        <v>95</v>
      </c>
      <c r="F43" s="89" t="s">
        <v>16</v>
      </c>
      <c r="G43" s="89" t="s">
        <v>16</v>
      </c>
      <c r="H43" s="89" t="s">
        <v>94</v>
      </c>
      <c r="I43" s="89" t="s">
        <v>17</v>
      </c>
      <c r="J43" s="89" t="s">
        <v>16</v>
      </c>
      <c r="K43" s="89" t="s">
        <v>16</v>
      </c>
      <c r="L43" s="89" t="s">
        <v>16</v>
      </c>
    </row>
    <row r="44" spans="2:12" ht="12.75">
      <c r="B44" s="100" t="s">
        <v>177</v>
      </c>
      <c r="C44" s="64">
        <f>SUM(C6:C42)</f>
        <v>14440</v>
      </c>
      <c r="D44" s="64">
        <f>SUM(D6:D42)</f>
        <v>12371</v>
      </c>
      <c r="E44" s="133">
        <f>D44/C44</f>
        <v>0.8567174515235457</v>
      </c>
      <c r="F44" s="64">
        <f aca="true" t="shared" si="4" ref="F44:L44">SUM(F6:F42)</f>
        <v>2069</v>
      </c>
      <c r="G44" s="64">
        <f t="shared" si="4"/>
        <v>991</v>
      </c>
      <c r="H44" s="64">
        <f>SUM(H6:H42)</f>
        <v>308</v>
      </c>
      <c r="I44" s="64">
        <f t="shared" si="4"/>
        <v>638</v>
      </c>
      <c r="J44" s="64">
        <f t="shared" si="4"/>
        <v>255</v>
      </c>
      <c r="K44" s="64">
        <f>SUM(K6:K42)</f>
        <v>383</v>
      </c>
      <c r="L44" s="64">
        <f t="shared" si="4"/>
        <v>13925</v>
      </c>
    </row>
    <row r="45" spans="2:12" ht="12">
      <c r="B45" s="103"/>
      <c r="C45" s="105" t="s">
        <v>34</v>
      </c>
      <c r="D45" s="105"/>
      <c r="E45" s="106"/>
      <c r="F45" s="106" t="s">
        <v>34</v>
      </c>
      <c r="G45" s="106"/>
      <c r="H45" s="105"/>
      <c r="I45" s="106"/>
      <c r="J45" s="106"/>
      <c r="K45" s="106" t="s">
        <v>34</v>
      </c>
      <c r="L45" s="106"/>
    </row>
    <row r="46" spans="2:12" ht="12">
      <c r="B46" s="53"/>
      <c r="C46" s="79"/>
      <c r="D46" s="92" t="s">
        <v>622</v>
      </c>
      <c r="E46" s="106"/>
      <c r="F46" s="106"/>
      <c r="G46" s="106"/>
      <c r="H46" s="106"/>
      <c r="I46" s="106" t="s">
        <v>34</v>
      </c>
      <c r="J46" s="106"/>
      <c r="K46" s="106"/>
      <c r="L46" s="107"/>
    </row>
    <row r="47" spans="2:12" ht="12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87"/>
    </row>
    <row r="48" spans="2:12" ht="12.75">
      <c r="B48" s="91" t="s">
        <v>18</v>
      </c>
      <c r="C48" s="53"/>
      <c r="D48" s="195">
        <f>C44</f>
        <v>14440</v>
      </c>
      <c r="E48" s="53"/>
      <c r="F48" s="79" t="s">
        <v>34</v>
      </c>
      <c r="G48" s="53"/>
      <c r="H48" s="101"/>
      <c r="I48" s="53"/>
      <c r="J48" s="53"/>
      <c r="K48" s="53"/>
      <c r="L48" s="87"/>
    </row>
    <row r="49" spans="2:12" ht="12.75">
      <c r="B49" s="75" t="s">
        <v>623</v>
      </c>
      <c r="C49" s="79"/>
      <c r="D49" s="195">
        <f>L44-SUM(D53:D54)-D50</f>
        <v>12371</v>
      </c>
      <c r="E49" s="53"/>
      <c r="F49" s="53"/>
      <c r="G49" s="53"/>
      <c r="H49" s="101"/>
      <c r="I49" s="53"/>
      <c r="J49" s="53"/>
      <c r="K49" s="53"/>
      <c r="L49" s="175"/>
    </row>
    <row r="50" spans="2:12" ht="12.75">
      <c r="B50" s="93" t="s">
        <v>19</v>
      </c>
      <c r="C50" s="53"/>
      <c r="D50" s="195">
        <f>H44</f>
        <v>308</v>
      </c>
      <c r="E50" s="53"/>
      <c r="F50" s="53"/>
      <c r="G50" s="53"/>
      <c r="H50" s="101"/>
      <c r="I50" s="53"/>
      <c r="J50" s="53"/>
      <c r="K50" s="53"/>
      <c r="L50" s="175"/>
    </row>
    <row r="51" spans="2:12" ht="12.75">
      <c r="B51" s="93" t="s">
        <v>20</v>
      </c>
      <c r="C51" s="53"/>
      <c r="D51" s="196">
        <f>D49/D48</f>
        <v>0.8567174515235457</v>
      </c>
      <c r="E51" s="53"/>
      <c r="F51" s="53"/>
      <c r="G51" s="53"/>
      <c r="H51" s="101"/>
      <c r="I51" s="53"/>
      <c r="J51" s="53"/>
      <c r="K51" s="53"/>
      <c r="L51" s="87"/>
    </row>
    <row r="52" spans="2:12" ht="12">
      <c r="B52" s="53"/>
      <c r="C52" s="53"/>
      <c r="D52" s="76"/>
      <c r="E52" s="53"/>
      <c r="F52" s="53"/>
      <c r="G52" s="53"/>
      <c r="H52" s="53"/>
      <c r="I52" s="53"/>
      <c r="J52" s="53"/>
      <c r="K52" s="53"/>
      <c r="L52" s="87"/>
    </row>
    <row r="53" spans="2:12" ht="12.75">
      <c r="B53" s="53" t="s">
        <v>22</v>
      </c>
      <c r="C53" s="53"/>
      <c r="D53" s="195">
        <f>G44</f>
        <v>991</v>
      </c>
      <c r="E53" s="53"/>
      <c r="F53" s="53"/>
      <c r="G53" s="53"/>
      <c r="H53" s="101"/>
      <c r="I53" s="53"/>
      <c r="J53" s="53"/>
      <c r="K53" s="53"/>
      <c r="L53" s="87"/>
    </row>
    <row r="54" spans="2:12" ht="12.75">
      <c r="B54" s="53" t="s">
        <v>23</v>
      </c>
      <c r="C54" s="53"/>
      <c r="D54" s="195">
        <f>J44</f>
        <v>255</v>
      </c>
      <c r="E54" s="53"/>
      <c r="F54" s="53"/>
      <c r="G54" s="53"/>
      <c r="H54" s="101"/>
      <c r="I54" s="53"/>
      <c r="J54" s="53"/>
      <c r="K54" s="53"/>
      <c r="L54" s="87"/>
    </row>
    <row r="55" spans="2:12" ht="12">
      <c r="B55" s="53"/>
      <c r="C55" s="53"/>
      <c r="D55" s="79"/>
      <c r="E55" s="53"/>
      <c r="F55" s="53"/>
      <c r="G55" s="53"/>
      <c r="H55" s="53"/>
      <c r="I55" s="53"/>
      <c r="J55" s="53"/>
      <c r="K55" s="53"/>
      <c r="L55" s="87"/>
    </row>
    <row r="56" spans="2:12" ht="12.75">
      <c r="B56" s="94" t="s">
        <v>144</v>
      </c>
      <c r="C56" s="53"/>
      <c r="D56" s="195">
        <f>D49+D50+D53+D54</f>
        <v>13925</v>
      </c>
      <c r="E56" s="53"/>
      <c r="F56" s="53"/>
      <c r="G56" s="53"/>
      <c r="H56" s="101"/>
      <c r="I56" s="53"/>
      <c r="J56" s="53"/>
      <c r="K56" s="53"/>
      <c r="L56" s="87"/>
    </row>
    <row r="57" ht="12">
      <c r="D57" s="66"/>
    </row>
    <row r="58" spans="2:4" ht="15">
      <c r="B58" s="211" t="s">
        <v>668</v>
      </c>
      <c r="D58" s="66"/>
    </row>
    <row r="61" ht="12">
      <c r="B61" s="25" t="s">
        <v>687</v>
      </c>
    </row>
  </sheetData>
  <printOptions gridLines="1" horizontalCentered="1"/>
  <pageMargins left="0.25" right="0.26" top="0.65" bottom="0.32" header="0.38" footer="0.16"/>
  <pageSetup horizontalDpi="300" verticalDpi="300" orientation="portrait" scale="73" r:id="rId1"/>
  <headerFooter alignWithMargins="0">
    <oddHeader>&amp;C&amp;12Month Ending June 30, 2010
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workbookViewId="0" topLeftCell="A1">
      <selection activeCell="I51" sqref="I51"/>
    </sheetView>
  </sheetViews>
  <sheetFormatPr defaultColWidth="9.140625" defaultRowHeight="12.75"/>
  <cols>
    <col min="1" max="1" width="8.140625" style="67" customWidth="1"/>
    <col min="2" max="2" width="27.7109375" style="25" customWidth="1"/>
    <col min="3" max="3" width="7.8515625" style="25" customWidth="1"/>
    <col min="4" max="4" width="9.8515625" style="25" customWidth="1"/>
    <col min="5" max="5" width="9.140625" style="25" customWidth="1"/>
    <col min="6" max="6" width="9.421875" style="25" customWidth="1"/>
    <col min="7" max="8" width="9.57421875" style="25" customWidth="1"/>
    <col min="9" max="9" width="9.7109375" style="25" customWidth="1"/>
    <col min="10" max="10" width="7.57421875" style="25" customWidth="1"/>
    <col min="11" max="11" width="7.421875" style="25" customWidth="1"/>
    <col min="12" max="12" width="11.57421875" style="74" customWidth="1"/>
    <col min="13" max="16384" width="9.140625" style="25" customWidth="1"/>
  </cols>
  <sheetData>
    <row r="1" spans="1:12" s="67" customFormat="1" ht="12">
      <c r="A1" s="86" t="s">
        <v>693</v>
      </c>
      <c r="B1" s="102"/>
      <c r="C1" s="67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</row>
    <row r="2" spans="1:12" s="68" customFormat="1" ht="51">
      <c r="A2" s="71" t="s">
        <v>191</v>
      </c>
      <c r="B2" s="71" t="s">
        <v>190</v>
      </c>
      <c r="C2" s="72" t="s">
        <v>509</v>
      </c>
      <c r="D2" s="73" t="s">
        <v>305</v>
      </c>
      <c r="E2" s="73" t="s">
        <v>186</v>
      </c>
      <c r="F2" s="73" t="s">
        <v>187</v>
      </c>
      <c r="G2" s="73" t="s">
        <v>306</v>
      </c>
      <c r="H2" s="72" t="s">
        <v>621</v>
      </c>
      <c r="I2" s="72" t="s">
        <v>510</v>
      </c>
      <c r="J2" s="72" t="s">
        <v>188</v>
      </c>
      <c r="K2" s="72" t="s">
        <v>189</v>
      </c>
      <c r="L2" s="210" t="s">
        <v>667</v>
      </c>
    </row>
    <row r="3" spans="2:12" s="67" customFormat="1" ht="12">
      <c r="B3" s="88"/>
      <c r="C3" s="56"/>
      <c r="D3" s="56"/>
      <c r="E3" s="56"/>
      <c r="F3" s="56"/>
      <c r="G3" s="56"/>
      <c r="H3" s="95"/>
      <c r="I3" s="55"/>
      <c r="J3" s="96"/>
      <c r="K3" s="97"/>
      <c r="L3" s="56"/>
    </row>
    <row r="4" spans="1:12" ht="12">
      <c r="A4" s="98" t="s">
        <v>163</v>
      </c>
      <c r="C4" s="53"/>
      <c r="D4" s="53"/>
      <c r="E4" s="53"/>
      <c r="F4" s="53"/>
      <c r="G4" s="53"/>
      <c r="H4" s="53"/>
      <c r="I4" s="53"/>
      <c r="J4" s="53"/>
      <c r="K4" s="87"/>
      <c r="L4" s="53"/>
    </row>
    <row r="5" spans="2:12" ht="12.75">
      <c r="B5" s="53"/>
      <c r="C5" s="147"/>
      <c r="D5" s="162"/>
      <c r="E5" s="128"/>
      <c r="F5" s="169"/>
      <c r="G5" s="169"/>
      <c r="H5" s="162"/>
      <c r="I5" s="147"/>
      <c r="J5" s="169"/>
      <c r="K5" s="123"/>
      <c r="L5" s="130"/>
    </row>
    <row r="6" spans="1:12" s="148" customFormat="1" ht="12.75">
      <c r="A6" s="141">
        <v>110100</v>
      </c>
      <c r="B6" s="201" t="s">
        <v>466</v>
      </c>
      <c r="C6" s="202">
        <v>1212</v>
      </c>
      <c r="D6" s="162">
        <v>1050</v>
      </c>
      <c r="E6" s="203">
        <f>D6/C6</f>
        <v>0.8663366336633663</v>
      </c>
      <c r="F6" s="162">
        <f>C6-D6</f>
        <v>162</v>
      </c>
      <c r="G6" s="162">
        <v>48</v>
      </c>
      <c r="H6" s="162">
        <v>25</v>
      </c>
      <c r="I6" s="202">
        <v>66</v>
      </c>
      <c r="J6" s="162">
        <v>26</v>
      </c>
      <c r="K6" s="147">
        <f>I6-J6</f>
        <v>40</v>
      </c>
      <c r="L6" s="162">
        <f>D6+G6+H6+J6</f>
        <v>1149</v>
      </c>
    </row>
    <row r="7" spans="1:12" s="150" customFormat="1" ht="12.75">
      <c r="A7" s="149">
        <v>110200</v>
      </c>
      <c r="B7" s="201" t="s">
        <v>467</v>
      </c>
      <c r="C7" s="202">
        <v>501</v>
      </c>
      <c r="D7" s="162">
        <v>420</v>
      </c>
      <c r="E7" s="203">
        <f aca="true" t="shared" si="0" ref="E7:E45">D7/C7</f>
        <v>0.8383233532934131</v>
      </c>
      <c r="F7" s="162">
        <f aca="true" t="shared" si="1" ref="F7:F45">C7-D7</f>
        <v>81</v>
      </c>
      <c r="G7" s="162">
        <v>27</v>
      </c>
      <c r="H7" s="162">
        <v>7</v>
      </c>
      <c r="I7" s="202">
        <v>34</v>
      </c>
      <c r="J7" s="162">
        <v>11</v>
      </c>
      <c r="K7" s="147">
        <f aca="true" t="shared" si="2" ref="K7:K23">I7-J7</f>
        <v>23</v>
      </c>
      <c r="L7" s="162">
        <f aca="true" t="shared" si="3" ref="L7:L45">D7+G7+H7+J7</f>
        <v>465</v>
      </c>
    </row>
    <row r="8" spans="1:12" s="148" customFormat="1" ht="12.75">
      <c r="A8" s="141">
        <v>111700</v>
      </c>
      <c r="B8" s="201" t="s">
        <v>468</v>
      </c>
      <c r="C8" s="202">
        <v>118</v>
      </c>
      <c r="D8" s="162">
        <v>109</v>
      </c>
      <c r="E8" s="203">
        <f t="shared" si="0"/>
        <v>0.923728813559322</v>
      </c>
      <c r="F8" s="162">
        <f t="shared" si="1"/>
        <v>9</v>
      </c>
      <c r="G8" s="162">
        <v>7</v>
      </c>
      <c r="H8" s="162">
        <v>0</v>
      </c>
      <c r="I8" s="202">
        <f>3+1</f>
        <v>4</v>
      </c>
      <c r="J8" s="162">
        <v>4</v>
      </c>
      <c r="K8" s="147">
        <f t="shared" si="2"/>
        <v>0</v>
      </c>
      <c r="L8" s="162">
        <f t="shared" si="3"/>
        <v>120</v>
      </c>
    </row>
    <row r="9" spans="1:12" s="148" customFormat="1" ht="12.75">
      <c r="A9" s="149">
        <v>110300</v>
      </c>
      <c r="B9" s="201" t="s">
        <v>469</v>
      </c>
      <c r="C9" s="202">
        <v>253</v>
      </c>
      <c r="D9" s="162">
        <v>220</v>
      </c>
      <c r="E9" s="203">
        <f t="shared" si="0"/>
        <v>0.8695652173913043</v>
      </c>
      <c r="F9" s="162">
        <f t="shared" si="1"/>
        <v>33</v>
      </c>
      <c r="G9" s="162">
        <v>11</v>
      </c>
      <c r="H9" s="162">
        <v>7</v>
      </c>
      <c r="I9" s="202">
        <v>12</v>
      </c>
      <c r="J9" s="162">
        <v>4</v>
      </c>
      <c r="K9" s="147">
        <f t="shared" si="2"/>
        <v>8</v>
      </c>
      <c r="L9" s="162">
        <f t="shared" si="3"/>
        <v>242</v>
      </c>
    </row>
    <row r="10" spans="1:12" s="148" customFormat="1" ht="12.75">
      <c r="A10" s="149">
        <v>40100</v>
      </c>
      <c r="B10" s="201" t="s">
        <v>470</v>
      </c>
      <c r="C10" s="202">
        <v>250</v>
      </c>
      <c r="D10" s="162">
        <v>225</v>
      </c>
      <c r="E10" s="203">
        <f t="shared" si="0"/>
        <v>0.9</v>
      </c>
      <c r="F10" s="162">
        <f t="shared" si="1"/>
        <v>25</v>
      </c>
      <c r="G10" s="162">
        <v>3</v>
      </c>
      <c r="H10" s="162">
        <v>6</v>
      </c>
      <c r="I10" s="202">
        <v>10</v>
      </c>
      <c r="J10" s="162">
        <v>1</v>
      </c>
      <c r="K10" s="147">
        <f t="shared" si="2"/>
        <v>9</v>
      </c>
      <c r="L10" s="162">
        <f t="shared" si="3"/>
        <v>235</v>
      </c>
    </row>
    <row r="11" spans="1:12" s="148" customFormat="1" ht="12.75">
      <c r="A11" s="149">
        <v>40200</v>
      </c>
      <c r="B11" s="201" t="s">
        <v>471</v>
      </c>
      <c r="C11" s="202">
        <v>278</v>
      </c>
      <c r="D11" s="162">
        <v>253</v>
      </c>
      <c r="E11" s="203">
        <f t="shared" si="0"/>
        <v>0.9100719424460432</v>
      </c>
      <c r="F11" s="162">
        <f t="shared" si="1"/>
        <v>25</v>
      </c>
      <c r="G11" s="162">
        <v>15</v>
      </c>
      <c r="H11" s="162">
        <v>4</v>
      </c>
      <c r="I11" s="202">
        <f>1+1+1+2+1</f>
        <v>6</v>
      </c>
      <c r="J11" s="162">
        <v>6</v>
      </c>
      <c r="K11" s="147">
        <f t="shared" si="2"/>
        <v>0</v>
      </c>
      <c r="L11" s="162">
        <f t="shared" si="3"/>
        <v>278</v>
      </c>
    </row>
    <row r="12" spans="1:12" s="148" customFormat="1" ht="12.75">
      <c r="A12" s="149">
        <v>40300</v>
      </c>
      <c r="B12" s="201" t="s">
        <v>472</v>
      </c>
      <c r="C12" s="202">
        <v>529</v>
      </c>
      <c r="D12" s="162">
        <v>467</v>
      </c>
      <c r="E12" s="203">
        <f t="shared" si="0"/>
        <v>0.8827977315689981</v>
      </c>
      <c r="F12" s="162">
        <f t="shared" si="1"/>
        <v>62</v>
      </c>
      <c r="G12" s="162">
        <v>15</v>
      </c>
      <c r="H12" s="162">
        <v>7</v>
      </c>
      <c r="I12" s="202">
        <v>27</v>
      </c>
      <c r="J12" s="162">
        <v>7</v>
      </c>
      <c r="K12" s="147">
        <f t="shared" si="2"/>
        <v>20</v>
      </c>
      <c r="L12" s="162">
        <f t="shared" si="3"/>
        <v>496</v>
      </c>
    </row>
    <row r="13" spans="1:12" s="148" customFormat="1" ht="12.75">
      <c r="A13" s="149">
        <v>41500</v>
      </c>
      <c r="B13" s="201" t="s">
        <v>473</v>
      </c>
      <c r="C13" s="202">
        <v>164</v>
      </c>
      <c r="D13" s="162">
        <v>152</v>
      </c>
      <c r="E13" s="203">
        <f t="shared" si="0"/>
        <v>0.926829268292683</v>
      </c>
      <c r="F13" s="162">
        <f t="shared" si="1"/>
        <v>12</v>
      </c>
      <c r="G13" s="162">
        <v>10</v>
      </c>
      <c r="H13" s="162">
        <v>4</v>
      </c>
      <c r="I13" s="202">
        <f>3+1</f>
        <v>4</v>
      </c>
      <c r="J13" s="162">
        <v>4</v>
      </c>
      <c r="K13" s="147">
        <f t="shared" si="2"/>
        <v>0</v>
      </c>
      <c r="L13" s="162">
        <f t="shared" si="3"/>
        <v>170</v>
      </c>
    </row>
    <row r="14" spans="1:12" s="148" customFormat="1" ht="12.75">
      <c r="A14" s="149">
        <v>112100</v>
      </c>
      <c r="B14" s="201" t="s">
        <v>474</v>
      </c>
      <c r="C14" s="202">
        <v>142</v>
      </c>
      <c r="D14" s="162">
        <v>107</v>
      </c>
      <c r="E14" s="203">
        <f t="shared" si="0"/>
        <v>0.7535211267605634</v>
      </c>
      <c r="F14" s="162">
        <f t="shared" si="1"/>
        <v>35</v>
      </c>
      <c r="G14" s="162">
        <v>5</v>
      </c>
      <c r="H14" s="162">
        <v>5</v>
      </c>
      <c r="I14" s="202">
        <v>20</v>
      </c>
      <c r="J14" s="162">
        <v>2</v>
      </c>
      <c r="K14" s="147">
        <f t="shared" si="2"/>
        <v>18</v>
      </c>
      <c r="L14" s="162">
        <f t="shared" si="3"/>
        <v>119</v>
      </c>
    </row>
    <row r="15" spans="1:12" s="148" customFormat="1" ht="12.75">
      <c r="A15" s="149">
        <v>110400</v>
      </c>
      <c r="B15" s="201" t="s">
        <v>475</v>
      </c>
      <c r="C15" s="202">
        <v>327</v>
      </c>
      <c r="D15" s="162">
        <v>303</v>
      </c>
      <c r="E15" s="203">
        <f t="shared" si="0"/>
        <v>0.926605504587156</v>
      </c>
      <c r="F15" s="162">
        <f t="shared" si="1"/>
        <v>24</v>
      </c>
      <c r="G15" s="162">
        <v>15</v>
      </c>
      <c r="H15" s="162">
        <v>4</v>
      </c>
      <c r="I15" s="202">
        <v>7</v>
      </c>
      <c r="J15" s="162">
        <v>5</v>
      </c>
      <c r="K15" s="147">
        <f t="shared" si="2"/>
        <v>2</v>
      </c>
      <c r="L15" s="162">
        <f t="shared" si="3"/>
        <v>327</v>
      </c>
    </row>
    <row r="16" spans="1:12" s="148" customFormat="1" ht="12.75">
      <c r="A16" s="149">
        <v>41600</v>
      </c>
      <c r="B16" s="201" t="s">
        <v>476</v>
      </c>
      <c r="C16" s="202">
        <v>130</v>
      </c>
      <c r="D16" s="162">
        <v>121</v>
      </c>
      <c r="E16" s="203">
        <f t="shared" si="0"/>
        <v>0.9307692307692308</v>
      </c>
      <c r="F16" s="162">
        <f t="shared" si="1"/>
        <v>9</v>
      </c>
      <c r="G16" s="162">
        <v>7</v>
      </c>
      <c r="H16" s="162">
        <v>1</v>
      </c>
      <c r="I16" s="202">
        <v>0</v>
      </c>
      <c r="J16" s="162">
        <v>0</v>
      </c>
      <c r="K16" s="147">
        <f t="shared" si="2"/>
        <v>0</v>
      </c>
      <c r="L16" s="162">
        <f t="shared" si="3"/>
        <v>129</v>
      </c>
    </row>
    <row r="17" spans="1:12" s="148" customFormat="1" ht="12.75">
      <c r="A17" s="149">
        <v>40400</v>
      </c>
      <c r="B17" s="201" t="s">
        <v>477</v>
      </c>
      <c r="C17" s="202">
        <v>794</v>
      </c>
      <c r="D17" s="162">
        <v>672</v>
      </c>
      <c r="E17" s="203">
        <f t="shared" si="0"/>
        <v>0.8463476070528967</v>
      </c>
      <c r="F17" s="162">
        <f t="shared" si="1"/>
        <v>122</v>
      </c>
      <c r="G17" s="162">
        <v>25</v>
      </c>
      <c r="H17" s="162">
        <v>15</v>
      </c>
      <c r="I17" s="202">
        <v>55</v>
      </c>
      <c r="J17" s="162">
        <v>19</v>
      </c>
      <c r="K17" s="147">
        <f t="shared" si="2"/>
        <v>36</v>
      </c>
      <c r="L17" s="162">
        <f t="shared" si="3"/>
        <v>731</v>
      </c>
    </row>
    <row r="18" spans="1:12" s="148" customFormat="1" ht="12.75">
      <c r="A18" s="149">
        <v>40600</v>
      </c>
      <c r="B18" s="201" t="s">
        <v>478</v>
      </c>
      <c r="C18" s="202">
        <v>391</v>
      </c>
      <c r="D18" s="162">
        <v>353</v>
      </c>
      <c r="E18" s="203">
        <f t="shared" si="0"/>
        <v>0.9028132992327366</v>
      </c>
      <c r="F18" s="162">
        <f t="shared" si="1"/>
        <v>38</v>
      </c>
      <c r="G18" s="162">
        <v>14</v>
      </c>
      <c r="H18" s="162">
        <v>2</v>
      </c>
      <c r="I18" s="202">
        <v>12</v>
      </c>
      <c r="J18" s="162">
        <v>2</v>
      </c>
      <c r="K18" s="147">
        <f t="shared" si="2"/>
        <v>10</v>
      </c>
      <c r="L18" s="162">
        <f t="shared" si="3"/>
        <v>371</v>
      </c>
    </row>
    <row r="19" spans="1:12" s="148" customFormat="1" ht="12.75">
      <c r="A19" s="149">
        <v>40500</v>
      </c>
      <c r="B19" s="201" t="s">
        <v>479</v>
      </c>
      <c r="C19" s="202">
        <v>502</v>
      </c>
      <c r="D19" s="162">
        <v>442</v>
      </c>
      <c r="E19" s="203">
        <f t="shared" si="0"/>
        <v>0.8804780876494024</v>
      </c>
      <c r="F19" s="162">
        <f t="shared" si="1"/>
        <v>60</v>
      </c>
      <c r="G19" s="162">
        <v>23</v>
      </c>
      <c r="H19" s="162">
        <v>12</v>
      </c>
      <c r="I19" s="202">
        <v>15</v>
      </c>
      <c r="J19" s="162">
        <v>6</v>
      </c>
      <c r="K19" s="147">
        <f t="shared" si="2"/>
        <v>9</v>
      </c>
      <c r="L19" s="162">
        <f t="shared" si="3"/>
        <v>483</v>
      </c>
    </row>
    <row r="20" spans="1:12" s="148" customFormat="1" ht="12.75">
      <c r="A20" s="149">
        <v>110500</v>
      </c>
      <c r="B20" s="201" t="s">
        <v>480</v>
      </c>
      <c r="C20" s="202">
        <v>763</v>
      </c>
      <c r="D20" s="162">
        <v>692</v>
      </c>
      <c r="E20" s="203">
        <f t="shared" si="0"/>
        <v>0.9069462647444299</v>
      </c>
      <c r="F20" s="162">
        <f t="shared" si="1"/>
        <v>71</v>
      </c>
      <c r="G20" s="162">
        <v>38</v>
      </c>
      <c r="H20" s="162">
        <v>10</v>
      </c>
      <c r="I20" s="202">
        <v>19</v>
      </c>
      <c r="J20" s="162">
        <v>11</v>
      </c>
      <c r="K20" s="147">
        <f t="shared" si="2"/>
        <v>8</v>
      </c>
      <c r="L20" s="162">
        <f t="shared" si="3"/>
        <v>751</v>
      </c>
    </row>
    <row r="21" spans="1:12" s="148" customFormat="1" ht="12.75">
      <c r="A21" s="149">
        <v>110600</v>
      </c>
      <c r="B21" s="201" t="s">
        <v>481</v>
      </c>
      <c r="C21" s="202">
        <v>712</v>
      </c>
      <c r="D21" s="162">
        <v>658</v>
      </c>
      <c r="E21" s="203">
        <f t="shared" si="0"/>
        <v>0.9241573033707865</v>
      </c>
      <c r="F21" s="162">
        <f t="shared" si="1"/>
        <v>54</v>
      </c>
      <c r="G21" s="162">
        <v>26</v>
      </c>
      <c r="H21" s="162">
        <v>8</v>
      </c>
      <c r="I21" s="202">
        <v>26</v>
      </c>
      <c r="J21" s="162">
        <v>17</v>
      </c>
      <c r="K21" s="147">
        <f t="shared" si="2"/>
        <v>9</v>
      </c>
      <c r="L21" s="162">
        <f t="shared" si="3"/>
        <v>709</v>
      </c>
    </row>
    <row r="22" spans="1:12" s="148" customFormat="1" ht="12.75">
      <c r="A22" s="149">
        <v>111900</v>
      </c>
      <c r="B22" s="201" t="s">
        <v>482</v>
      </c>
      <c r="C22" s="202">
        <v>130</v>
      </c>
      <c r="D22" s="162">
        <v>91</v>
      </c>
      <c r="E22" s="203">
        <f t="shared" si="0"/>
        <v>0.7</v>
      </c>
      <c r="F22" s="162">
        <f t="shared" si="1"/>
        <v>39</v>
      </c>
      <c r="G22" s="162">
        <v>6</v>
      </c>
      <c r="H22" s="162">
        <v>2</v>
      </c>
      <c r="I22" s="202">
        <v>26</v>
      </c>
      <c r="J22" s="162">
        <v>4</v>
      </c>
      <c r="K22" s="147">
        <f t="shared" si="2"/>
        <v>22</v>
      </c>
      <c r="L22" s="162">
        <f t="shared" si="3"/>
        <v>103</v>
      </c>
    </row>
    <row r="23" spans="1:12" s="148" customFormat="1" ht="12.75">
      <c r="A23" s="149">
        <v>40700</v>
      </c>
      <c r="B23" s="201" t="s">
        <v>483</v>
      </c>
      <c r="C23" s="202">
        <v>718</v>
      </c>
      <c r="D23" s="162">
        <v>645</v>
      </c>
      <c r="E23" s="203">
        <f t="shared" si="0"/>
        <v>0.8983286908077994</v>
      </c>
      <c r="F23" s="162">
        <f t="shared" si="1"/>
        <v>73</v>
      </c>
      <c r="G23" s="162">
        <v>34</v>
      </c>
      <c r="H23" s="162">
        <v>14</v>
      </c>
      <c r="I23" s="202">
        <v>38</v>
      </c>
      <c r="J23" s="162">
        <v>10</v>
      </c>
      <c r="K23" s="147">
        <f t="shared" si="2"/>
        <v>28</v>
      </c>
      <c r="L23" s="162">
        <f t="shared" si="3"/>
        <v>703</v>
      </c>
    </row>
    <row r="24" spans="1:12" s="148" customFormat="1" ht="12.75">
      <c r="A24" s="149">
        <v>111800</v>
      </c>
      <c r="B24" s="201" t="s">
        <v>484</v>
      </c>
      <c r="C24" s="202">
        <v>83</v>
      </c>
      <c r="D24" s="162">
        <v>77</v>
      </c>
      <c r="E24" s="203">
        <f t="shared" si="0"/>
        <v>0.927710843373494</v>
      </c>
      <c r="F24" s="162">
        <f t="shared" si="1"/>
        <v>6</v>
      </c>
      <c r="G24" s="162">
        <v>4</v>
      </c>
      <c r="H24" s="162">
        <v>3</v>
      </c>
      <c r="I24" s="202">
        <v>1</v>
      </c>
      <c r="J24" s="162">
        <v>1</v>
      </c>
      <c r="K24" s="147">
        <f aca="true" t="shared" si="4" ref="K24:K45">I24-J24</f>
        <v>0</v>
      </c>
      <c r="L24" s="162">
        <f t="shared" si="3"/>
        <v>85</v>
      </c>
    </row>
    <row r="25" spans="1:12" s="148" customFormat="1" ht="12.75">
      <c r="A25" s="149">
        <v>40800</v>
      </c>
      <c r="B25" s="201" t="s">
        <v>485</v>
      </c>
      <c r="C25" s="202">
        <f>151+2</f>
        <v>153</v>
      </c>
      <c r="D25" s="162">
        <v>152</v>
      </c>
      <c r="E25" s="203">
        <f t="shared" si="0"/>
        <v>0.9934640522875817</v>
      </c>
      <c r="F25" s="162">
        <f t="shared" si="1"/>
        <v>1</v>
      </c>
      <c r="G25" s="162">
        <v>8</v>
      </c>
      <c r="H25" s="162">
        <v>5</v>
      </c>
      <c r="I25" s="202">
        <f>0+1</f>
        <v>1</v>
      </c>
      <c r="J25" s="162">
        <v>1</v>
      </c>
      <c r="K25" s="147">
        <f t="shared" si="4"/>
        <v>0</v>
      </c>
      <c r="L25" s="162">
        <f t="shared" si="3"/>
        <v>166</v>
      </c>
    </row>
    <row r="26" spans="1:12" s="148" customFormat="1" ht="12.75">
      <c r="A26" s="149">
        <v>111600</v>
      </c>
      <c r="B26" s="201" t="s">
        <v>486</v>
      </c>
      <c r="C26" s="202">
        <v>209</v>
      </c>
      <c r="D26" s="162">
        <v>182</v>
      </c>
      <c r="E26" s="203">
        <f t="shared" si="0"/>
        <v>0.8708133971291866</v>
      </c>
      <c r="F26" s="162">
        <f t="shared" si="1"/>
        <v>27</v>
      </c>
      <c r="G26" s="162">
        <v>8</v>
      </c>
      <c r="H26" s="162">
        <v>5</v>
      </c>
      <c r="I26" s="202">
        <v>10</v>
      </c>
      <c r="J26" s="162">
        <v>2</v>
      </c>
      <c r="K26" s="147">
        <f t="shared" si="4"/>
        <v>8</v>
      </c>
      <c r="L26" s="162">
        <f t="shared" si="3"/>
        <v>197</v>
      </c>
    </row>
    <row r="27" spans="1:12" s="148" customFormat="1" ht="12.75">
      <c r="A27" s="149">
        <v>110800</v>
      </c>
      <c r="B27" s="201" t="s">
        <v>487</v>
      </c>
      <c r="C27" s="202">
        <v>305</v>
      </c>
      <c r="D27" s="162">
        <v>240</v>
      </c>
      <c r="E27" s="203">
        <f t="shared" si="0"/>
        <v>0.7868852459016393</v>
      </c>
      <c r="F27" s="162">
        <f t="shared" si="1"/>
        <v>65</v>
      </c>
      <c r="G27" s="162">
        <v>22</v>
      </c>
      <c r="H27" s="162">
        <v>9</v>
      </c>
      <c r="I27" s="202">
        <v>23</v>
      </c>
      <c r="J27" s="162">
        <v>8</v>
      </c>
      <c r="K27" s="147">
        <f t="shared" si="4"/>
        <v>15</v>
      </c>
      <c r="L27" s="162">
        <f t="shared" si="3"/>
        <v>279</v>
      </c>
    </row>
    <row r="28" spans="1:12" s="148" customFormat="1" ht="12.75">
      <c r="A28" s="149">
        <v>110110</v>
      </c>
      <c r="B28" s="201" t="s">
        <v>488</v>
      </c>
      <c r="C28" s="202">
        <v>67</v>
      </c>
      <c r="D28" s="162">
        <v>61</v>
      </c>
      <c r="E28" s="203">
        <f t="shared" si="0"/>
        <v>0.9104477611940298</v>
      </c>
      <c r="F28" s="162">
        <f t="shared" si="1"/>
        <v>6</v>
      </c>
      <c r="G28" s="162">
        <v>4</v>
      </c>
      <c r="H28" s="162">
        <v>2</v>
      </c>
      <c r="I28" s="202">
        <f>1+1</f>
        <v>2</v>
      </c>
      <c r="J28" s="162">
        <v>2</v>
      </c>
      <c r="K28" s="147">
        <f t="shared" si="4"/>
        <v>0</v>
      </c>
      <c r="L28" s="162">
        <f t="shared" si="3"/>
        <v>69</v>
      </c>
    </row>
    <row r="29" spans="1:12" s="148" customFormat="1" ht="12.75">
      <c r="A29" s="149">
        <v>41300</v>
      </c>
      <c r="B29" s="201" t="s">
        <v>489</v>
      </c>
      <c r="C29" s="202">
        <v>181</v>
      </c>
      <c r="D29" s="162">
        <v>158</v>
      </c>
      <c r="E29" s="203">
        <f t="shared" si="0"/>
        <v>0.8729281767955801</v>
      </c>
      <c r="F29" s="162">
        <f t="shared" si="1"/>
        <v>23</v>
      </c>
      <c r="G29" s="162">
        <v>10</v>
      </c>
      <c r="H29" s="162">
        <v>5</v>
      </c>
      <c r="I29" s="202">
        <v>15</v>
      </c>
      <c r="J29" s="162">
        <v>3</v>
      </c>
      <c r="K29" s="147">
        <f t="shared" si="4"/>
        <v>12</v>
      </c>
      <c r="L29" s="162">
        <f t="shared" si="3"/>
        <v>176</v>
      </c>
    </row>
    <row r="30" spans="1:12" s="148" customFormat="1" ht="12.75">
      <c r="A30" s="149">
        <v>110900</v>
      </c>
      <c r="B30" s="201" t="s">
        <v>490</v>
      </c>
      <c r="C30" s="202">
        <v>155</v>
      </c>
      <c r="D30" s="162">
        <v>138</v>
      </c>
      <c r="E30" s="203">
        <f t="shared" si="0"/>
        <v>0.8903225806451613</v>
      </c>
      <c r="F30" s="162">
        <f t="shared" si="1"/>
        <v>17</v>
      </c>
      <c r="G30" s="162">
        <v>12</v>
      </c>
      <c r="H30" s="162">
        <v>7</v>
      </c>
      <c r="I30" s="202">
        <f>2+1</f>
        <v>3</v>
      </c>
      <c r="J30" s="162">
        <v>3</v>
      </c>
      <c r="K30" s="147">
        <f t="shared" si="4"/>
        <v>0</v>
      </c>
      <c r="L30" s="162">
        <f t="shared" si="3"/>
        <v>160</v>
      </c>
    </row>
    <row r="31" spans="1:12" s="148" customFormat="1" ht="12.75">
      <c r="A31" s="149">
        <v>110700</v>
      </c>
      <c r="B31" s="201" t="s">
        <v>491</v>
      </c>
      <c r="C31" s="202">
        <v>259</v>
      </c>
      <c r="D31" s="162">
        <v>207</v>
      </c>
      <c r="E31" s="203">
        <f t="shared" si="0"/>
        <v>0.7992277992277992</v>
      </c>
      <c r="F31" s="162">
        <f t="shared" si="1"/>
        <v>52</v>
      </c>
      <c r="G31" s="162">
        <v>11</v>
      </c>
      <c r="H31" s="162">
        <v>5</v>
      </c>
      <c r="I31" s="202">
        <v>18</v>
      </c>
      <c r="J31" s="162">
        <v>8</v>
      </c>
      <c r="K31" s="147">
        <f t="shared" si="4"/>
        <v>10</v>
      </c>
      <c r="L31" s="162">
        <f t="shared" si="3"/>
        <v>231</v>
      </c>
    </row>
    <row r="32" spans="1:12" s="148" customFormat="1" ht="12.75">
      <c r="A32" s="149">
        <v>110901</v>
      </c>
      <c r="B32" s="201" t="s">
        <v>312</v>
      </c>
      <c r="C32" s="202">
        <v>67</v>
      </c>
      <c r="D32" s="162">
        <v>47</v>
      </c>
      <c r="E32" s="203">
        <f t="shared" si="0"/>
        <v>0.7014925373134329</v>
      </c>
      <c r="F32" s="162">
        <f t="shared" si="1"/>
        <v>20</v>
      </c>
      <c r="G32" s="162">
        <v>5</v>
      </c>
      <c r="H32" s="162">
        <v>2</v>
      </c>
      <c r="I32" s="202">
        <v>16</v>
      </c>
      <c r="J32" s="162">
        <v>5</v>
      </c>
      <c r="K32" s="147">
        <f t="shared" si="4"/>
        <v>11</v>
      </c>
      <c r="L32" s="162">
        <f t="shared" si="3"/>
        <v>59</v>
      </c>
    </row>
    <row r="33" spans="1:12" s="148" customFormat="1" ht="12.75">
      <c r="A33" s="149">
        <v>111000</v>
      </c>
      <c r="B33" s="201" t="s">
        <v>492</v>
      </c>
      <c r="C33" s="202">
        <v>316</v>
      </c>
      <c r="D33" s="162">
        <v>265</v>
      </c>
      <c r="E33" s="203">
        <f t="shared" si="0"/>
        <v>0.8386075949367089</v>
      </c>
      <c r="F33" s="162">
        <f t="shared" si="1"/>
        <v>51</v>
      </c>
      <c r="G33" s="162">
        <v>10</v>
      </c>
      <c r="H33" s="162">
        <v>5</v>
      </c>
      <c r="I33" s="202">
        <v>37</v>
      </c>
      <c r="J33" s="162">
        <v>8</v>
      </c>
      <c r="K33" s="147">
        <f t="shared" si="4"/>
        <v>29</v>
      </c>
      <c r="L33" s="162">
        <f t="shared" si="3"/>
        <v>288</v>
      </c>
    </row>
    <row r="34" spans="1:12" s="148" customFormat="1" ht="12.75">
      <c r="A34" s="149">
        <v>111100</v>
      </c>
      <c r="B34" s="201" t="s">
        <v>493</v>
      </c>
      <c r="C34" s="202">
        <v>380</v>
      </c>
      <c r="D34" s="162">
        <v>362</v>
      </c>
      <c r="E34" s="203">
        <f t="shared" si="0"/>
        <v>0.9526315789473684</v>
      </c>
      <c r="F34" s="162">
        <f t="shared" si="1"/>
        <v>18</v>
      </c>
      <c r="G34" s="162">
        <v>24</v>
      </c>
      <c r="H34" s="162">
        <v>6</v>
      </c>
      <c r="I34" s="202">
        <v>7</v>
      </c>
      <c r="J34" s="162">
        <v>7</v>
      </c>
      <c r="K34" s="147">
        <f t="shared" si="4"/>
        <v>0</v>
      </c>
      <c r="L34" s="162">
        <f t="shared" si="3"/>
        <v>399</v>
      </c>
    </row>
    <row r="35" spans="1:12" s="148" customFormat="1" ht="12.75">
      <c r="A35" s="149">
        <v>111200</v>
      </c>
      <c r="B35" s="201" t="s">
        <v>494</v>
      </c>
      <c r="C35" s="202">
        <v>330</v>
      </c>
      <c r="D35" s="162">
        <v>290</v>
      </c>
      <c r="E35" s="203">
        <f t="shared" si="0"/>
        <v>0.8787878787878788</v>
      </c>
      <c r="F35" s="162">
        <f t="shared" si="1"/>
        <v>40</v>
      </c>
      <c r="G35" s="162">
        <v>15</v>
      </c>
      <c r="H35" s="162">
        <v>2</v>
      </c>
      <c r="I35" s="202">
        <v>17</v>
      </c>
      <c r="J35" s="162">
        <v>5</v>
      </c>
      <c r="K35" s="147">
        <f t="shared" si="4"/>
        <v>12</v>
      </c>
      <c r="L35" s="162">
        <f t="shared" si="3"/>
        <v>312</v>
      </c>
    </row>
    <row r="36" spans="1:12" s="148" customFormat="1" ht="12.75">
      <c r="A36" s="149">
        <v>41000</v>
      </c>
      <c r="B36" s="201" t="s">
        <v>495</v>
      </c>
      <c r="C36" s="202">
        <v>159</v>
      </c>
      <c r="D36" s="162">
        <v>144</v>
      </c>
      <c r="E36" s="203">
        <f t="shared" si="0"/>
        <v>0.9056603773584906</v>
      </c>
      <c r="F36" s="162">
        <f t="shared" si="1"/>
        <v>15</v>
      </c>
      <c r="G36" s="162">
        <v>6</v>
      </c>
      <c r="H36" s="162">
        <v>2</v>
      </c>
      <c r="I36" s="202">
        <v>1</v>
      </c>
      <c r="J36" s="162">
        <v>0</v>
      </c>
      <c r="K36" s="147">
        <f t="shared" si="4"/>
        <v>1</v>
      </c>
      <c r="L36" s="162">
        <f t="shared" si="3"/>
        <v>152</v>
      </c>
    </row>
    <row r="37" spans="1:12" s="148" customFormat="1" ht="12.75">
      <c r="A37" s="149">
        <v>111300</v>
      </c>
      <c r="B37" s="201" t="s">
        <v>496</v>
      </c>
      <c r="C37" s="202">
        <v>139</v>
      </c>
      <c r="D37" s="162">
        <v>128</v>
      </c>
      <c r="E37" s="203">
        <f t="shared" si="0"/>
        <v>0.920863309352518</v>
      </c>
      <c r="F37" s="162">
        <f t="shared" si="1"/>
        <v>11</v>
      </c>
      <c r="G37" s="162">
        <v>7</v>
      </c>
      <c r="H37" s="162">
        <v>2</v>
      </c>
      <c r="I37" s="202">
        <f>2+1</f>
        <v>3</v>
      </c>
      <c r="J37" s="162">
        <v>3</v>
      </c>
      <c r="K37" s="147">
        <f t="shared" si="4"/>
        <v>0</v>
      </c>
      <c r="L37" s="162">
        <f t="shared" si="3"/>
        <v>140</v>
      </c>
    </row>
    <row r="38" spans="1:12" s="148" customFormat="1" ht="12.75">
      <c r="A38" s="149">
        <v>41200</v>
      </c>
      <c r="B38" s="201" t="s">
        <v>497</v>
      </c>
      <c r="C38" s="202">
        <v>150</v>
      </c>
      <c r="D38" s="162">
        <v>144</v>
      </c>
      <c r="E38" s="203">
        <f t="shared" si="0"/>
        <v>0.96</v>
      </c>
      <c r="F38" s="162">
        <f t="shared" si="1"/>
        <v>6</v>
      </c>
      <c r="G38" s="162">
        <v>8</v>
      </c>
      <c r="H38" s="162">
        <v>1</v>
      </c>
      <c r="I38" s="202">
        <f>1+1</f>
        <v>2</v>
      </c>
      <c r="J38" s="162">
        <v>2</v>
      </c>
      <c r="K38" s="147">
        <f t="shared" si="4"/>
        <v>0</v>
      </c>
      <c r="L38" s="162">
        <f t="shared" si="3"/>
        <v>155</v>
      </c>
    </row>
    <row r="39" spans="1:12" s="148" customFormat="1" ht="12.75">
      <c r="A39" s="149">
        <v>111400</v>
      </c>
      <c r="B39" s="201" t="s">
        <v>498</v>
      </c>
      <c r="C39" s="202">
        <v>481</v>
      </c>
      <c r="D39" s="162">
        <v>438</v>
      </c>
      <c r="E39" s="203">
        <f t="shared" si="0"/>
        <v>0.9106029106029107</v>
      </c>
      <c r="F39" s="162">
        <f t="shared" si="1"/>
        <v>43</v>
      </c>
      <c r="G39" s="162">
        <v>13</v>
      </c>
      <c r="H39" s="162">
        <v>2</v>
      </c>
      <c r="I39" s="202">
        <v>11</v>
      </c>
      <c r="J39" s="162">
        <v>5</v>
      </c>
      <c r="K39" s="147">
        <f t="shared" si="4"/>
        <v>6</v>
      </c>
      <c r="L39" s="162">
        <f t="shared" si="3"/>
        <v>458</v>
      </c>
    </row>
    <row r="40" spans="1:12" s="148" customFormat="1" ht="12.75">
      <c r="A40" s="149">
        <v>112200</v>
      </c>
      <c r="B40" s="201" t="s">
        <v>499</v>
      </c>
      <c r="C40" s="202">
        <f>66+1+1</f>
        <v>68</v>
      </c>
      <c r="D40" s="162">
        <v>68</v>
      </c>
      <c r="E40" s="203">
        <f t="shared" si="0"/>
        <v>1</v>
      </c>
      <c r="F40" s="162">
        <f t="shared" si="1"/>
        <v>0</v>
      </c>
      <c r="G40" s="162">
        <v>2</v>
      </c>
      <c r="H40" s="162">
        <v>0</v>
      </c>
      <c r="I40" s="202">
        <v>1</v>
      </c>
      <c r="J40" s="162">
        <v>1</v>
      </c>
      <c r="K40" s="147">
        <f t="shared" si="4"/>
        <v>0</v>
      </c>
      <c r="L40" s="162">
        <f t="shared" si="3"/>
        <v>71</v>
      </c>
    </row>
    <row r="41" spans="1:12" s="148" customFormat="1" ht="12.75">
      <c r="A41" s="149">
        <v>41400</v>
      </c>
      <c r="B41" s="201" t="s">
        <v>500</v>
      </c>
      <c r="C41" s="202">
        <v>154</v>
      </c>
      <c r="D41" s="162">
        <v>146</v>
      </c>
      <c r="E41" s="203">
        <f t="shared" si="0"/>
        <v>0.948051948051948</v>
      </c>
      <c r="F41" s="162">
        <f t="shared" si="1"/>
        <v>8</v>
      </c>
      <c r="G41" s="162">
        <v>8</v>
      </c>
      <c r="H41" s="162">
        <v>2</v>
      </c>
      <c r="I41" s="202">
        <v>1</v>
      </c>
      <c r="J41" s="162">
        <v>0</v>
      </c>
      <c r="K41" s="147">
        <f t="shared" si="4"/>
        <v>1</v>
      </c>
      <c r="L41" s="162">
        <f t="shared" si="3"/>
        <v>156</v>
      </c>
    </row>
    <row r="42" spans="1:12" s="148" customFormat="1" ht="12.75">
      <c r="A42" s="149">
        <v>40900</v>
      </c>
      <c r="B42" s="201" t="s">
        <v>501</v>
      </c>
      <c r="C42" s="202">
        <v>731</v>
      </c>
      <c r="D42" s="162">
        <v>636</v>
      </c>
      <c r="E42" s="203">
        <f t="shared" si="0"/>
        <v>0.8700410396716827</v>
      </c>
      <c r="F42" s="162">
        <f t="shared" si="1"/>
        <v>95</v>
      </c>
      <c r="G42" s="162">
        <v>29</v>
      </c>
      <c r="H42" s="162">
        <v>23</v>
      </c>
      <c r="I42" s="202">
        <v>27</v>
      </c>
      <c r="J42" s="162">
        <v>9</v>
      </c>
      <c r="K42" s="147">
        <f t="shared" si="4"/>
        <v>18</v>
      </c>
      <c r="L42" s="162">
        <f t="shared" si="3"/>
        <v>697</v>
      </c>
    </row>
    <row r="43" spans="1:12" s="148" customFormat="1" ht="12.75">
      <c r="A43" s="149">
        <v>111500</v>
      </c>
      <c r="B43" s="201" t="s">
        <v>502</v>
      </c>
      <c r="C43" s="202">
        <v>146</v>
      </c>
      <c r="D43" s="162">
        <v>127</v>
      </c>
      <c r="E43" s="203">
        <f t="shared" si="0"/>
        <v>0.8698630136986302</v>
      </c>
      <c r="F43" s="162">
        <f t="shared" si="1"/>
        <v>19</v>
      </c>
      <c r="G43" s="162">
        <v>3</v>
      </c>
      <c r="H43" s="162">
        <v>1</v>
      </c>
      <c r="I43" s="202">
        <v>6</v>
      </c>
      <c r="J43" s="162">
        <v>2</v>
      </c>
      <c r="K43" s="147">
        <f t="shared" si="4"/>
        <v>4</v>
      </c>
      <c r="L43" s="162">
        <f t="shared" si="3"/>
        <v>133</v>
      </c>
    </row>
    <row r="44" spans="1:12" s="156" customFormat="1" ht="12.75">
      <c r="A44" s="149">
        <v>112300</v>
      </c>
      <c r="B44" s="201" t="s">
        <v>503</v>
      </c>
      <c r="C44" s="202">
        <v>83</v>
      </c>
      <c r="D44" s="162">
        <v>60</v>
      </c>
      <c r="E44" s="203">
        <f t="shared" si="0"/>
        <v>0.7228915662650602</v>
      </c>
      <c r="F44" s="162">
        <f t="shared" si="1"/>
        <v>23</v>
      </c>
      <c r="G44" s="162">
        <v>5</v>
      </c>
      <c r="H44" s="162">
        <v>0</v>
      </c>
      <c r="I44" s="202">
        <v>18</v>
      </c>
      <c r="J44" s="162">
        <v>1</v>
      </c>
      <c r="K44" s="147">
        <f t="shared" si="4"/>
        <v>17</v>
      </c>
      <c r="L44" s="162">
        <f t="shared" si="3"/>
        <v>66</v>
      </c>
    </row>
    <row r="45" spans="1:12" s="156" customFormat="1" ht="12.75">
      <c r="A45" s="157">
        <v>41100</v>
      </c>
      <c r="B45" s="201" t="s">
        <v>504</v>
      </c>
      <c r="C45" s="202">
        <v>486</v>
      </c>
      <c r="D45" s="162">
        <v>384</v>
      </c>
      <c r="E45" s="203">
        <f t="shared" si="0"/>
        <v>0.7901234567901234</v>
      </c>
      <c r="F45" s="162">
        <f t="shared" si="1"/>
        <v>102</v>
      </c>
      <c r="G45" s="162">
        <v>17</v>
      </c>
      <c r="H45" s="162">
        <v>7</v>
      </c>
      <c r="I45" s="202">
        <v>81</v>
      </c>
      <c r="J45" s="162">
        <v>10</v>
      </c>
      <c r="K45" s="147">
        <f t="shared" si="4"/>
        <v>71</v>
      </c>
      <c r="L45" s="162">
        <f t="shared" si="3"/>
        <v>418</v>
      </c>
    </row>
    <row r="46" spans="2:12" ht="12.75">
      <c r="B46" s="57"/>
      <c r="C46" s="89" t="s">
        <v>16</v>
      </c>
      <c r="D46" s="89" t="s">
        <v>16</v>
      </c>
      <c r="E46" s="90" t="s">
        <v>95</v>
      </c>
      <c r="F46" s="89" t="s">
        <v>16</v>
      </c>
      <c r="G46" s="89" t="s">
        <v>16</v>
      </c>
      <c r="H46" s="89" t="s">
        <v>94</v>
      </c>
      <c r="I46" s="89" t="s">
        <v>17</v>
      </c>
      <c r="J46" s="89" t="s">
        <v>16</v>
      </c>
      <c r="K46" s="89" t="s">
        <v>16</v>
      </c>
      <c r="L46" s="89" t="s">
        <v>16</v>
      </c>
    </row>
    <row r="47" spans="2:12" ht="12.75">
      <c r="B47" s="100" t="s">
        <v>178</v>
      </c>
      <c r="C47" s="64">
        <f>SUM(C6:C45)</f>
        <v>13016</v>
      </c>
      <c r="D47" s="64">
        <f>SUM(D6:D45)</f>
        <v>11434</v>
      </c>
      <c r="E47" s="133">
        <f>D47/C47</f>
        <v>0.8784572833435771</v>
      </c>
      <c r="F47" s="64">
        <f aca="true" t="shared" si="5" ref="F47:L47">SUM(F6:F45)</f>
        <v>1582</v>
      </c>
      <c r="G47" s="64">
        <f t="shared" si="5"/>
        <v>560</v>
      </c>
      <c r="H47" s="64">
        <f>SUM(H6:H45)</f>
        <v>229</v>
      </c>
      <c r="I47" s="64">
        <f t="shared" si="5"/>
        <v>682</v>
      </c>
      <c r="J47" s="64">
        <f>SUM(J6:J45)</f>
        <v>225</v>
      </c>
      <c r="K47" s="124">
        <f>SUM(K6:K45)</f>
        <v>457</v>
      </c>
      <c r="L47" s="64">
        <f t="shared" si="5"/>
        <v>12448</v>
      </c>
    </row>
    <row r="48" spans="2:12" ht="12">
      <c r="B48" s="53"/>
      <c r="C48" s="79" t="s">
        <v>34</v>
      </c>
      <c r="D48" s="79"/>
      <c r="E48" s="79"/>
      <c r="F48" s="79"/>
      <c r="G48" s="79"/>
      <c r="H48" s="79"/>
      <c r="I48" s="79"/>
      <c r="J48" s="79"/>
      <c r="K48" s="79"/>
      <c r="L48" s="79"/>
    </row>
    <row r="49" spans="2:12" ht="12">
      <c r="B49" s="53"/>
      <c r="C49" s="53"/>
      <c r="D49" s="53"/>
      <c r="E49" s="53"/>
      <c r="F49" s="53" t="s">
        <v>34</v>
      </c>
      <c r="G49" s="53"/>
      <c r="H49" s="53"/>
      <c r="I49" s="53"/>
      <c r="J49" s="53"/>
      <c r="K49" s="53"/>
      <c r="L49" s="53"/>
    </row>
    <row r="50" spans="2:12" ht="12">
      <c r="B50" s="53"/>
      <c r="C50" s="53"/>
      <c r="D50" s="92" t="s">
        <v>622</v>
      </c>
      <c r="E50" s="53"/>
      <c r="F50" s="53"/>
      <c r="G50" s="53"/>
      <c r="H50" s="53"/>
      <c r="I50" s="53"/>
      <c r="J50" s="53"/>
      <c r="K50" s="53"/>
      <c r="L50" s="87"/>
    </row>
    <row r="51" spans="2:12" ht="12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87"/>
    </row>
    <row r="52" spans="2:12" ht="12.75">
      <c r="B52" s="91" t="s">
        <v>18</v>
      </c>
      <c r="C52" s="53"/>
      <c r="D52" s="195">
        <f>C47</f>
        <v>13016</v>
      </c>
      <c r="E52" s="53"/>
      <c r="F52" s="79" t="s">
        <v>34</v>
      </c>
      <c r="G52" s="53"/>
      <c r="H52" s="101"/>
      <c r="I52" s="53" t="s">
        <v>34</v>
      </c>
      <c r="J52" s="53"/>
      <c r="K52" s="53"/>
      <c r="L52" s="175"/>
    </row>
    <row r="53" spans="2:12" ht="12.75">
      <c r="B53" s="75" t="s">
        <v>623</v>
      </c>
      <c r="C53" s="79"/>
      <c r="D53" s="195">
        <f>L47-SUM(D57:D58)-D54</f>
        <v>11434</v>
      </c>
      <c r="E53" s="53"/>
      <c r="F53" s="53"/>
      <c r="G53" s="53"/>
      <c r="H53" s="195" t="s">
        <v>34</v>
      </c>
      <c r="I53" s="53"/>
      <c r="J53" s="53"/>
      <c r="K53" s="53"/>
      <c r="L53" s="175"/>
    </row>
    <row r="54" spans="2:12" ht="12.75">
      <c r="B54" s="93" t="s">
        <v>19</v>
      </c>
      <c r="C54" s="53"/>
      <c r="D54" s="195">
        <f>H47</f>
        <v>229</v>
      </c>
      <c r="E54" s="53"/>
      <c r="F54" s="53"/>
      <c r="G54" s="53"/>
      <c r="H54" s="101"/>
      <c r="I54" s="53"/>
      <c r="J54" s="53"/>
      <c r="K54" s="53"/>
      <c r="L54" s="87"/>
    </row>
    <row r="55" spans="2:12" ht="12.75">
      <c r="B55" s="93" t="s">
        <v>20</v>
      </c>
      <c r="C55" s="53"/>
      <c r="D55" s="196">
        <f>D53/D52</f>
        <v>0.8784572833435771</v>
      </c>
      <c r="E55" s="53"/>
      <c r="F55" s="53"/>
      <c r="G55" s="53"/>
      <c r="H55" s="101"/>
      <c r="I55" s="53"/>
      <c r="J55" s="53"/>
      <c r="K55" s="53"/>
      <c r="L55" s="87"/>
    </row>
    <row r="56" spans="2:12" ht="12">
      <c r="B56" s="53"/>
      <c r="C56" s="53"/>
      <c r="D56" s="76"/>
      <c r="E56" s="53"/>
      <c r="F56" s="53"/>
      <c r="G56" s="53"/>
      <c r="H56" s="53"/>
      <c r="I56" s="53"/>
      <c r="J56" s="53"/>
      <c r="K56" s="53"/>
      <c r="L56" s="87"/>
    </row>
    <row r="57" spans="2:12" ht="12.75">
      <c r="B57" s="53" t="s">
        <v>22</v>
      </c>
      <c r="C57" s="53"/>
      <c r="D57" s="195">
        <f>G47</f>
        <v>560</v>
      </c>
      <c r="E57" s="53"/>
      <c r="F57" s="53"/>
      <c r="G57" s="53"/>
      <c r="H57" s="101"/>
      <c r="I57" s="53"/>
      <c r="J57" s="53"/>
      <c r="K57" s="53"/>
      <c r="L57" s="87"/>
    </row>
    <row r="58" spans="2:12" ht="12.75">
      <c r="B58" s="53" t="s">
        <v>23</v>
      </c>
      <c r="C58" s="53"/>
      <c r="D58" s="195">
        <f>J47</f>
        <v>225</v>
      </c>
      <c r="E58" s="53"/>
      <c r="F58" s="53"/>
      <c r="G58" s="53"/>
      <c r="H58" s="101"/>
      <c r="I58" s="53"/>
      <c r="J58" s="53"/>
      <c r="K58" s="53"/>
      <c r="L58" s="87"/>
    </row>
    <row r="59" spans="2:12" ht="12">
      <c r="B59" s="53"/>
      <c r="C59" s="53"/>
      <c r="D59" s="79"/>
      <c r="E59" s="53"/>
      <c r="F59" s="53"/>
      <c r="G59" s="53"/>
      <c r="H59" s="53"/>
      <c r="I59" s="53"/>
      <c r="J59" s="53"/>
      <c r="K59" s="53"/>
      <c r="L59" s="87"/>
    </row>
    <row r="60" spans="2:12" ht="12.75">
      <c r="B60" s="94" t="s">
        <v>145</v>
      </c>
      <c r="C60" s="53"/>
      <c r="D60" s="195">
        <f>D53+D54+D57+D58</f>
        <v>12448</v>
      </c>
      <c r="E60" s="53"/>
      <c r="F60" s="53"/>
      <c r="G60" s="53"/>
      <c r="H60" s="101"/>
      <c r="I60" s="53"/>
      <c r="J60" s="53"/>
      <c r="K60" s="53"/>
      <c r="L60" s="87"/>
    </row>
    <row r="61" spans="2:12" ht="12">
      <c r="B61" s="53"/>
      <c r="C61" s="53"/>
      <c r="D61" s="79"/>
      <c r="E61" s="53"/>
      <c r="F61" s="53"/>
      <c r="G61" s="53"/>
      <c r="H61" s="53"/>
      <c r="I61" s="53"/>
      <c r="J61" s="53"/>
      <c r="K61" s="53"/>
      <c r="L61" s="87"/>
    </row>
    <row r="62" spans="2:4" ht="15">
      <c r="B62" s="211" t="s">
        <v>668</v>
      </c>
      <c r="D62" s="66"/>
    </row>
  </sheetData>
  <printOptions gridLines="1" horizontalCentered="1"/>
  <pageMargins left="0.25" right="0.26" top="0.65" bottom="0.32" header="0.38" footer="0.16"/>
  <pageSetup horizontalDpi="300" verticalDpi="300" orientation="portrait" scale="73" r:id="rId1"/>
  <headerFooter alignWithMargins="0">
    <oddHeader>&amp;C&amp;12Month Ending June 30, 2010
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workbookViewId="0" topLeftCell="A1">
      <selection activeCell="G6" sqref="G6"/>
    </sheetView>
  </sheetViews>
  <sheetFormatPr defaultColWidth="9.140625" defaultRowHeight="12.75"/>
  <cols>
    <col min="1" max="1" width="8.57421875" style="59" customWidth="1"/>
    <col min="2" max="2" width="31.140625" style="26" customWidth="1"/>
    <col min="3" max="3" width="6.421875" style="26" customWidth="1"/>
    <col min="4" max="4" width="9.8515625" style="26" customWidth="1"/>
    <col min="5" max="5" width="10.00390625" style="26" customWidth="1"/>
    <col min="6" max="6" width="9.421875" style="26" customWidth="1"/>
    <col min="7" max="8" width="9.57421875" style="26" customWidth="1"/>
    <col min="9" max="9" width="9.421875" style="26" customWidth="1"/>
    <col min="10" max="10" width="6.28125" style="26" customWidth="1"/>
    <col min="11" max="11" width="7.421875" style="26" customWidth="1"/>
    <col min="12" max="12" width="11.57421875" style="110" customWidth="1"/>
    <col min="13" max="16384" width="9.140625" style="26" customWidth="1"/>
  </cols>
  <sheetData>
    <row r="1" spans="1:12" s="67" customFormat="1" ht="12">
      <c r="A1" s="86" t="s">
        <v>693</v>
      </c>
      <c r="B1" s="102"/>
      <c r="C1" s="67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</row>
    <row r="2" spans="1:12" s="68" customFormat="1" ht="51">
      <c r="A2" s="71" t="s">
        <v>191</v>
      </c>
      <c r="B2" s="71" t="s">
        <v>190</v>
      </c>
      <c r="C2" s="72" t="s">
        <v>509</v>
      </c>
      <c r="D2" s="73" t="s">
        <v>305</v>
      </c>
      <c r="E2" s="73" t="s">
        <v>186</v>
      </c>
      <c r="F2" s="73" t="s">
        <v>187</v>
      </c>
      <c r="G2" s="73" t="s">
        <v>306</v>
      </c>
      <c r="H2" s="72" t="s">
        <v>621</v>
      </c>
      <c r="I2" s="72" t="s">
        <v>510</v>
      </c>
      <c r="J2" s="72" t="s">
        <v>188</v>
      </c>
      <c r="K2" s="72" t="s">
        <v>189</v>
      </c>
      <c r="L2" s="210" t="s">
        <v>667</v>
      </c>
    </row>
    <row r="3" spans="2:12" s="67" customFormat="1" ht="12">
      <c r="B3" s="88"/>
      <c r="C3" s="56"/>
      <c r="D3" s="56"/>
      <c r="E3" s="56"/>
      <c r="F3" s="56"/>
      <c r="G3" s="56"/>
      <c r="H3" s="95"/>
      <c r="I3" s="55"/>
      <c r="J3" s="96"/>
      <c r="K3" s="97"/>
      <c r="L3" s="56"/>
    </row>
    <row r="4" spans="1:12" ht="12.75">
      <c r="A4" s="103" t="s">
        <v>169</v>
      </c>
      <c r="C4" s="57"/>
      <c r="D4" s="57"/>
      <c r="E4" s="57"/>
      <c r="F4" s="57"/>
      <c r="G4" s="57"/>
      <c r="H4" s="57"/>
      <c r="I4" s="57"/>
      <c r="J4" s="57"/>
      <c r="K4" s="104"/>
      <c r="L4" s="57"/>
    </row>
    <row r="5" spans="2:12" ht="12.75">
      <c r="B5" s="57"/>
      <c r="C5" s="147"/>
      <c r="D5" s="162"/>
      <c r="E5" s="128"/>
      <c r="F5" s="169"/>
      <c r="G5" s="169"/>
      <c r="H5" s="162"/>
      <c r="I5" s="147"/>
      <c r="J5" s="169"/>
      <c r="K5" s="123"/>
      <c r="L5" s="130"/>
    </row>
    <row r="6" spans="1:12" s="148" customFormat="1" ht="12.75">
      <c r="A6" s="59" t="s">
        <v>653</v>
      </c>
      <c r="B6" s="216" t="s">
        <v>652</v>
      </c>
      <c r="C6" s="147">
        <v>1</v>
      </c>
      <c r="D6" s="165">
        <v>0</v>
      </c>
      <c r="E6" s="203">
        <f>D6/C6</f>
        <v>0</v>
      </c>
      <c r="F6" s="169">
        <f>C6-D6</f>
        <v>1</v>
      </c>
      <c r="G6" s="165">
        <v>0</v>
      </c>
      <c r="H6" s="165">
        <v>0</v>
      </c>
      <c r="I6" s="147">
        <v>0</v>
      </c>
      <c r="J6" s="165">
        <v>0</v>
      </c>
      <c r="K6" s="147">
        <f>I6-J6</f>
        <v>0</v>
      </c>
      <c r="L6" s="169">
        <f>D6+G6+H6+J6</f>
        <v>0</v>
      </c>
    </row>
    <row r="7" spans="1:12" s="148" customFormat="1" ht="12.75">
      <c r="A7" s="141" t="s">
        <v>192</v>
      </c>
      <c r="B7" s="204" t="s">
        <v>511</v>
      </c>
      <c r="C7" s="147">
        <v>261</v>
      </c>
      <c r="D7" s="162">
        <v>247</v>
      </c>
      <c r="E7" s="203">
        <f aca="true" t="shared" si="0" ref="E7:E29">D7/C7</f>
        <v>0.946360153256705</v>
      </c>
      <c r="F7" s="169">
        <f aca="true" t="shared" si="1" ref="F7:F29">C7-D7</f>
        <v>14</v>
      </c>
      <c r="G7" s="162">
        <v>55</v>
      </c>
      <c r="H7" s="162">
        <v>7</v>
      </c>
      <c r="I7" s="147">
        <f>1+2</f>
        <v>3</v>
      </c>
      <c r="J7" s="162">
        <v>3</v>
      </c>
      <c r="K7" s="147">
        <f>I7-J7</f>
        <v>0</v>
      </c>
      <c r="L7" s="169">
        <f aca="true" t="shared" si="2" ref="L7:L29">D7+G7+H7+J7</f>
        <v>312</v>
      </c>
    </row>
    <row r="8" spans="1:12" s="148" customFormat="1" ht="12.75">
      <c r="A8" s="149" t="s">
        <v>193</v>
      </c>
      <c r="B8" s="204" t="s">
        <v>512</v>
      </c>
      <c r="C8" s="147">
        <v>11</v>
      </c>
      <c r="D8" s="169">
        <v>9</v>
      </c>
      <c r="E8" s="203">
        <f t="shared" si="0"/>
        <v>0.8181818181818182</v>
      </c>
      <c r="F8" s="169">
        <f t="shared" si="1"/>
        <v>2</v>
      </c>
      <c r="G8" s="169">
        <v>2</v>
      </c>
      <c r="H8" s="169">
        <v>0</v>
      </c>
      <c r="I8" s="147">
        <f>0+1</f>
        <v>1</v>
      </c>
      <c r="J8" s="169">
        <v>0</v>
      </c>
      <c r="K8" s="147">
        <f aca="true" t="shared" si="3" ref="K8:K29">I8-J8</f>
        <v>1</v>
      </c>
      <c r="L8" s="169">
        <f t="shared" si="2"/>
        <v>11</v>
      </c>
    </row>
    <row r="9" spans="1:12" s="148" customFormat="1" ht="12.75">
      <c r="A9" s="149" t="s">
        <v>194</v>
      </c>
      <c r="B9" s="204" t="s">
        <v>513</v>
      </c>
      <c r="C9" s="147">
        <f>4+1</f>
        <v>5</v>
      </c>
      <c r="D9" s="169">
        <v>5</v>
      </c>
      <c r="E9" s="203">
        <f t="shared" si="0"/>
        <v>1</v>
      </c>
      <c r="F9" s="169">
        <f>C9-D9</f>
        <v>0</v>
      </c>
      <c r="G9" s="169">
        <v>0</v>
      </c>
      <c r="H9" s="169">
        <v>0</v>
      </c>
      <c r="I9" s="147">
        <v>0</v>
      </c>
      <c r="J9" s="169">
        <v>0</v>
      </c>
      <c r="K9" s="147">
        <f t="shared" si="3"/>
        <v>0</v>
      </c>
      <c r="L9" s="169">
        <f t="shared" si="2"/>
        <v>5</v>
      </c>
    </row>
    <row r="10" spans="1:12" s="150" customFormat="1" ht="12.75">
      <c r="A10" s="149" t="s">
        <v>196</v>
      </c>
      <c r="B10" s="204" t="s">
        <v>514</v>
      </c>
      <c r="C10" s="147">
        <v>2</v>
      </c>
      <c r="D10" s="169">
        <v>1</v>
      </c>
      <c r="E10" s="203">
        <f t="shared" si="0"/>
        <v>0.5</v>
      </c>
      <c r="F10" s="169">
        <f t="shared" si="1"/>
        <v>1</v>
      </c>
      <c r="G10" s="169">
        <v>0</v>
      </c>
      <c r="H10" s="169">
        <v>0</v>
      </c>
      <c r="I10" s="147">
        <v>0</v>
      </c>
      <c r="J10" s="169">
        <v>0</v>
      </c>
      <c r="K10" s="147">
        <f t="shared" si="3"/>
        <v>0</v>
      </c>
      <c r="L10" s="169">
        <f t="shared" si="2"/>
        <v>1</v>
      </c>
    </row>
    <row r="11" spans="1:12" s="148" customFormat="1" ht="12.75">
      <c r="A11" s="149" t="s">
        <v>197</v>
      </c>
      <c r="B11" s="204" t="s">
        <v>515</v>
      </c>
      <c r="C11" s="147">
        <v>181</v>
      </c>
      <c r="D11" s="169">
        <v>153</v>
      </c>
      <c r="E11" s="203">
        <f t="shared" si="0"/>
        <v>0.8453038674033149</v>
      </c>
      <c r="F11" s="169">
        <f t="shared" si="1"/>
        <v>28</v>
      </c>
      <c r="G11" s="169">
        <v>11</v>
      </c>
      <c r="H11" s="169">
        <v>2</v>
      </c>
      <c r="I11" s="147">
        <v>3</v>
      </c>
      <c r="J11" s="169">
        <v>0</v>
      </c>
      <c r="K11" s="147">
        <f t="shared" si="3"/>
        <v>3</v>
      </c>
      <c r="L11" s="169">
        <f t="shared" si="2"/>
        <v>166</v>
      </c>
    </row>
    <row r="12" spans="1:12" s="148" customFormat="1" ht="12.75">
      <c r="A12" s="141" t="s">
        <v>198</v>
      </c>
      <c r="B12" s="204" t="s">
        <v>516</v>
      </c>
      <c r="C12" s="147">
        <v>628</v>
      </c>
      <c r="D12" s="169">
        <v>430</v>
      </c>
      <c r="E12" s="203">
        <f t="shared" si="0"/>
        <v>0.6847133757961783</v>
      </c>
      <c r="F12" s="169">
        <f t="shared" si="1"/>
        <v>198</v>
      </c>
      <c r="G12" s="169">
        <v>244</v>
      </c>
      <c r="H12" s="169">
        <v>24</v>
      </c>
      <c r="I12" s="147">
        <v>88</v>
      </c>
      <c r="J12" s="169">
        <v>11</v>
      </c>
      <c r="K12" s="147">
        <f t="shared" si="3"/>
        <v>77</v>
      </c>
      <c r="L12" s="169">
        <f t="shared" si="2"/>
        <v>709</v>
      </c>
    </row>
    <row r="13" spans="1:12" s="148" customFormat="1" ht="12.75">
      <c r="A13" s="149" t="s">
        <v>199</v>
      </c>
      <c r="B13" s="204" t="s">
        <v>517</v>
      </c>
      <c r="C13" s="147">
        <v>39</v>
      </c>
      <c r="D13" s="169">
        <v>31</v>
      </c>
      <c r="E13" s="203">
        <f t="shared" si="0"/>
        <v>0.7948717948717948</v>
      </c>
      <c r="F13" s="169">
        <f t="shared" si="1"/>
        <v>8</v>
      </c>
      <c r="G13" s="169">
        <v>10</v>
      </c>
      <c r="H13" s="169">
        <v>3</v>
      </c>
      <c r="I13" s="147">
        <v>0</v>
      </c>
      <c r="J13" s="169">
        <v>0</v>
      </c>
      <c r="K13" s="147">
        <f t="shared" si="3"/>
        <v>0</v>
      </c>
      <c r="L13" s="169">
        <f t="shared" si="2"/>
        <v>44</v>
      </c>
    </row>
    <row r="14" spans="1:12" s="148" customFormat="1" ht="12.75">
      <c r="A14" s="149" t="s">
        <v>200</v>
      </c>
      <c r="B14" s="204" t="s">
        <v>518</v>
      </c>
      <c r="C14" s="147">
        <v>507</v>
      </c>
      <c r="D14" s="169">
        <v>468</v>
      </c>
      <c r="E14" s="203">
        <f t="shared" si="0"/>
        <v>0.9230769230769231</v>
      </c>
      <c r="F14" s="169">
        <f t="shared" si="1"/>
        <v>39</v>
      </c>
      <c r="G14" s="169">
        <v>91</v>
      </c>
      <c r="H14" s="169">
        <v>18</v>
      </c>
      <c r="I14" s="147">
        <f>0+1</f>
        <v>1</v>
      </c>
      <c r="J14" s="169">
        <v>1</v>
      </c>
      <c r="K14" s="147">
        <f t="shared" si="3"/>
        <v>0</v>
      </c>
      <c r="L14" s="169">
        <f t="shared" si="2"/>
        <v>578</v>
      </c>
    </row>
    <row r="15" spans="1:12" s="148" customFormat="1" ht="12.75">
      <c r="A15" s="149" t="s">
        <v>201</v>
      </c>
      <c r="B15" s="204" t="s">
        <v>519</v>
      </c>
      <c r="C15" s="147">
        <v>92</v>
      </c>
      <c r="D15" s="169">
        <v>61</v>
      </c>
      <c r="E15" s="203">
        <f t="shared" si="0"/>
        <v>0.6630434782608695</v>
      </c>
      <c r="F15" s="169">
        <f t="shared" si="1"/>
        <v>31</v>
      </c>
      <c r="G15" s="169">
        <v>17</v>
      </c>
      <c r="H15" s="169">
        <v>2</v>
      </c>
      <c r="I15" s="147">
        <f>1+1+1</f>
        <v>3</v>
      </c>
      <c r="J15" s="169">
        <v>3</v>
      </c>
      <c r="K15" s="147">
        <f t="shared" si="3"/>
        <v>0</v>
      </c>
      <c r="L15" s="169">
        <f t="shared" si="2"/>
        <v>83</v>
      </c>
    </row>
    <row r="16" spans="1:12" s="148" customFormat="1" ht="12.75">
      <c r="A16" s="217" t="s">
        <v>670</v>
      </c>
      <c r="B16" s="218" t="s">
        <v>671</v>
      </c>
      <c r="C16" s="219">
        <v>1</v>
      </c>
      <c r="D16" s="169">
        <v>0</v>
      </c>
      <c r="E16" s="214">
        <f t="shared" si="0"/>
        <v>0</v>
      </c>
      <c r="F16" s="169">
        <f t="shared" si="1"/>
        <v>1</v>
      </c>
      <c r="G16" s="169">
        <v>0</v>
      </c>
      <c r="H16" s="169">
        <v>0</v>
      </c>
      <c r="I16" s="147">
        <v>0</v>
      </c>
      <c r="J16" s="169">
        <v>0</v>
      </c>
      <c r="K16" s="147">
        <f t="shared" si="3"/>
        <v>0</v>
      </c>
      <c r="L16" s="169">
        <f t="shared" si="2"/>
        <v>0</v>
      </c>
    </row>
    <row r="17" spans="1:12" s="148" customFormat="1" ht="12.75">
      <c r="A17" s="149" t="s">
        <v>202</v>
      </c>
      <c r="B17" s="204" t="s">
        <v>520</v>
      </c>
      <c r="C17" s="147">
        <v>8</v>
      </c>
      <c r="D17" s="169">
        <v>3</v>
      </c>
      <c r="E17" s="203">
        <f t="shared" si="0"/>
        <v>0.375</v>
      </c>
      <c r="F17" s="169">
        <f t="shared" si="1"/>
        <v>5</v>
      </c>
      <c r="G17" s="169">
        <v>0</v>
      </c>
      <c r="H17" s="169">
        <v>0</v>
      </c>
      <c r="I17" s="147">
        <v>2</v>
      </c>
      <c r="J17" s="169">
        <v>2</v>
      </c>
      <c r="K17" s="147">
        <f t="shared" si="3"/>
        <v>0</v>
      </c>
      <c r="L17" s="169">
        <f t="shared" si="2"/>
        <v>5</v>
      </c>
    </row>
    <row r="18" spans="1:13" s="148" customFormat="1" ht="12.75">
      <c r="A18" s="149" t="s">
        <v>690</v>
      </c>
      <c r="B18" s="204" t="s">
        <v>689</v>
      </c>
      <c r="C18" s="147">
        <v>1</v>
      </c>
      <c r="D18" s="169">
        <v>0</v>
      </c>
      <c r="E18" s="203">
        <f t="shared" si="0"/>
        <v>0</v>
      </c>
      <c r="F18" s="169">
        <f t="shared" si="1"/>
        <v>1</v>
      </c>
      <c r="G18" s="169">
        <v>1</v>
      </c>
      <c r="H18" s="169">
        <v>0</v>
      </c>
      <c r="I18" s="147">
        <v>0</v>
      </c>
      <c r="J18" s="169">
        <v>0</v>
      </c>
      <c r="K18" s="147">
        <f t="shared" si="3"/>
        <v>0</v>
      </c>
      <c r="L18" s="169">
        <f t="shared" si="2"/>
        <v>1</v>
      </c>
      <c r="M18" s="156" t="s">
        <v>34</v>
      </c>
    </row>
    <row r="19" spans="1:12" s="148" customFormat="1" ht="12.75">
      <c r="A19" s="149" t="s">
        <v>203</v>
      </c>
      <c r="B19" s="204" t="s">
        <v>521</v>
      </c>
      <c r="C19" s="147">
        <v>38</v>
      </c>
      <c r="D19" s="169">
        <v>33</v>
      </c>
      <c r="E19" s="203">
        <f t="shared" si="0"/>
        <v>0.868421052631579</v>
      </c>
      <c r="F19" s="169">
        <f t="shared" si="1"/>
        <v>5</v>
      </c>
      <c r="G19" s="169">
        <v>7</v>
      </c>
      <c r="H19" s="169">
        <v>0</v>
      </c>
      <c r="I19" s="147">
        <v>0</v>
      </c>
      <c r="J19" s="169">
        <v>0</v>
      </c>
      <c r="K19" s="147">
        <f t="shared" si="3"/>
        <v>0</v>
      </c>
      <c r="L19" s="169">
        <f t="shared" si="2"/>
        <v>40</v>
      </c>
    </row>
    <row r="20" spans="1:12" s="148" customFormat="1" ht="12.75">
      <c r="A20" s="149" t="s">
        <v>204</v>
      </c>
      <c r="B20" s="204" t="s">
        <v>522</v>
      </c>
      <c r="C20" s="147">
        <v>120</v>
      </c>
      <c r="D20" s="169">
        <v>73</v>
      </c>
      <c r="E20" s="203">
        <f t="shared" si="0"/>
        <v>0.6083333333333333</v>
      </c>
      <c r="F20" s="169">
        <f t="shared" si="1"/>
        <v>47</v>
      </c>
      <c r="G20" s="169">
        <v>26</v>
      </c>
      <c r="H20" s="169">
        <v>7</v>
      </c>
      <c r="I20" s="147">
        <v>32</v>
      </c>
      <c r="J20" s="169">
        <v>6</v>
      </c>
      <c r="K20" s="147">
        <f t="shared" si="3"/>
        <v>26</v>
      </c>
      <c r="L20" s="169">
        <f t="shared" si="2"/>
        <v>112</v>
      </c>
    </row>
    <row r="21" spans="1:12" s="148" customFormat="1" ht="12.75">
      <c r="A21" s="149" t="s">
        <v>205</v>
      </c>
      <c r="B21" s="204" t="s">
        <v>523</v>
      </c>
      <c r="C21" s="147">
        <v>2</v>
      </c>
      <c r="D21" s="169">
        <v>2</v>
      </c>
      <c r="E21" s="203">
        <f t="shared" si="0"/>
        <v>1</v>
      </c>
      <c r="F21" s="169">
        <f t="shared" si="1"/>
        <v>0</v>
      </c>
      <c r="G21" s="169">
        <v>0</v>
      </c>
      <c r="H21" s="169">
        <v>0</v>
      </c>
      <c r="I21" s="147">
        <v>0</v>
      </c>
      <c r="J21" s="169">
        <v>0</v>
      </c>
      <c r="K21" s="147">
        <f t="shared" si="3"/>
        <v>0</v>
      </c>
      <c r="L21" s="169">
        <f t="shared" si="2"/>
        <v>2</v>
      </c>
    </row>
    <row r="22" spans="1:12" s="148" customFormat="1" ht="12.75">
      <c r="A22" s="149" t="s">
        <v>195</v>
      </c>
      <c r="B22" s="204" t="s">
        <v>524</v>
      </c>
      <c r="C22" s="147">
        <v>95</v>
      </c>
      <c r="D22" s="169">
        <v>80</v>
      </c>
      <c r="E22" s="203">
        <f t="shared" si="0"/>
        <v>0.8421052631578947</v>
      </c>
      <c r="F22" s="169">
        <f t="shared" si="1"/>
        <v>15</v>
      </c>
      <c r="G22" s="169">
        <v>53</v>
      </c>
      <c r="H22" s="169">
        <v>4</v>
      </c>
      <c r="I22" s="147">
        <f>2+1</f>
        <v>3</v>
      </c>
      <c r="J22" s="169">
        <v>3</v>
      </c>
      <c r="K22" s="147">
        <f t="shared" si="3"/>
        <v>0</v>
      </c>
      <c r="L22" s="169">
        <f t="shared" si="2"/>
        <v>140</v>
      </c>
    </row>
    <row r="23" spans="1:12" s="148" customFormat="1" ht="12.75">
      <c r="A23" s="149" t="s">
        <v>317</v>
      </c>
      <c r="B23" s="204" t="s">
        <v>525</v>
      </c>
      <c r="C23" s="147">
        <f>24+4+2+1+3+2+1</f>
        <v>37</v>
      </c>
      <c r="D23" s="169">
        <v>37</v>
      </c>
      <c r="E23" s="203">
        <f t="shared" si="0"/>
        <v>1</v>
      </c>
      <c r="F23" s="169">
        <f t="shared" si="1"/>
        <v>0</v>
      </c>
      <c r="G23" s="169">
        <v>13</v>
      </c>
      <c r="H23" s="169">
        <v>0</v>
      </c>
      <c r="I23" s="147">
        <v>0</v>
      </c>
      <c r="J23" s="169">
        <v>0</v>
      </c>
      <c r="K23" s="147">
        <f t="shared" si="3"/>
        <v>0</v>
      </c>
      <c r="L23" s="169">
        <f t="shared" si="2"/>
        <v>50</v>
      </c>
    </row>
    <row r="24" spans="1:12" s="148" customFormat="1" ht="12.75">
      <c r="A24" s="149" t="s">
        <v>206</v>
      </c>
      <c r="B24" s="204" t="s">
        <v>526</v>
      </c>
      <c r="C24" s="147">
        <v>202</v>
      </c>
      <c r="D24" s="169">
        <v>172</v>
      </c>
      <c r="E24" s="203">
        <f t="shared" si="0"/>
        <v>0.8514851485148515</v>
      </c>
      <c r="F24" s="169">
        <f t="shared" si="1"/>
        <v>30</v>
      </c>
      <c r="G24" s="169">
        <v>27</v>
      </c>
      <c r="H24" s="169">
        <v>4</v>
      </c>
      <c r="I24" s="147">
        <f>4+1</f>
        <v>5</v>
      </c>
      <c r="J24" s="169">
        <v>5</v>
      </c>
      <c r="K24" s="147">
        <f t="shared" si="3"/>
        <v>0</v>
      </c>
      <c r="L24" s="169">
        <f t="shared" si="2"/>
        <v>208</v>
      </c>
    </row>
    <row r="25" spans="1:12" s="148" customFormat="1" ht="12.75">
      <c r="A25" s="149" t="s">
        <v>207</v>
      </c>
      <c r="B25" s="204" t="s">
        <v>527</v>
      </c>
      <c r="C25" s="147">
        <v>189</v>
      </c>
      <c r="D25" s="169">
        <v>149</v>
      </c>
      <c r="E25" s="203">
        <f t="shared" si="0"/>
        <v>0.7883597883597884</v>
      </c>
      <c r="F25" s="169">
        <f t="shared" si="1"/>
        <v>40</v>
      </c>
      <c r="G25" s="169">
        <v>71</v>
      </c>
      <c r="H25" s="169">
        <v>10</v>
      </c>
      <c r="I25" s="147">
        <v>2</v>
      </c>
      <c r="J25" s="169">
        <v>1</v>
      </c>
      <c r="K25" s="147">
        <f t="shared" si="3"/>
        <v>1</v>
      </c>
      <c r="L25" s="169">
        <f t="shared" si="2"/>
        <v>231</v>
      </c>
    </row>
    <row r="26" spans="1:12" s="148" customFormat="1" ht="12.75">
      <c r="A26" s="149" t="s">
        <v>208</v>
      </c>
      <c r="B26" s="204" t="s">
        <v>528</v>
      </c>
      <c r="C26" s="147">
        <v>22</v>
      </c>
      <c r="D26" s="169">
        <v>18</v>
      </c>
      <c r="E26" s="203">
        <f t="shared" si="0"/>
        <v>0.8181818181818182</v>
      </c>
      <c r="F26" s="169">
        <f t="shared" si="1"/>
        <v>4</v>
      </c>
      <c r="G26" s="169">
        <v>1</v>
      </c>
      <c r="H26" s="169">
        <v>0</v>
      </c>
      <c r="I26" s="147">
        <v>0</v>
      </c>
      <c r="J26" s="169">
        <v>0</v>
      </c>
      <c r="K26" s="147">
        <f t="shared" si="3"/>
        <v>0</v>
      </c>
      <c r="L26" s="169">
        <f t="shared" si="2"/>
        <v>19</v>
      </c>
    </row>
    <row r="27" spans="1:12" s="148" customFormat="1" ht="12.75">
      <c r="A27" s="149" t="s">
        <v>209</v>
      </c>
      <c r="B27" s="204" t="s">
        <v>529</v>
      </c>
      <c r="C27" s="147">
        <v>154</v>
      </c>
      <c r="D27" s="169">
        <v>137</v>
      </c>
      <c r="E27" s="203">
        <f t="shared" si="0"/>
        <v>0.8896103896103896</v>
      </c>
      <c r="F27" s="169">
        <f t="shared" si="1"/>
        <v>17</v>
      </c>
      <c r="G27" s="169">
        <v>26</v>
      </c>
      <c r="H27" s="169">
        <v>1</v>
      </c>
      <c r="I27" s="147">
        <v>4</v>
      </c>
      <c r="J27" s="169">
        <v>1</v>
      </c>
      <c r="K27" s="147">
        <f t="shared" si="3"/>
        <v>3</v>
      </c>
      <c r="L27" s="169">
        <f t="shared" si="2"/>
        <v>165</v>
      </c>
    </row>
    <row r="28" spans="1:12" s="148" customFormat="1" ht="12.75">
      <c r="A28" s="149" t="s">
        <v>210</v>
      </c>
      <c r="B28" s="204" t="s">
        <v>530</v>
      </c>
      <c r="C28" s="147">
        <v>36</v>
      </c>
      <c r="D28" s="169">
        <v>27</v>
      </c>
      <c r="E28" s="203">
        <f t="shared" si="0"/>
        <v>0.75</v>
      </c>
      <c r="F28" s="169">
        <f t="shared" si="1"/>
        <v>9</v>
      </c>
      <c r="G28" s="169">
        <v>11</v>
      </c>
      <c r="H28" s="169">
        <v>1</v>
      </c>
      <c r="I28" s="147">
        <f>1</f>
        <v>1</v>
      </c>
      <c r="J28" s="169">
        <v>1</v>
      </c>
      <c r="K28" s="147">
        <f t="shared" si="3"/>
        <v>0</v>
      </c>
      <c r="L28" s="169">
        <f t="shared" si="2"/>
        <v>40</v>
      </c>
    </row>
    <row r="29" spans="1:12" ht="12.75">
      <c r="A29" s="149" t="s">
        <v>211</v>
      </c>
      <c r="B29" s="204" t="s">
        <v>531</v>
      </c>
      <c r="C29" s="147">
        <v>7</v>
      </c>
      <c r="D29" s="169">
        <v>2</v>
      </c>
      <c r="E29" s="203">
        <f t="shared" si="0"/>
        <v>0.2857142857142857</v>
      </c>
      <c r="F29" s="169">
        <f t="shared" si="1"/>
        <v>5</v>
      </c>
      <c r="G29" s="169">
        <v>0</v>
      </c>
      <c r="H29" s="169">
        <v>0</v>
      </c>
      <c r="I29" s="147">
        <v>0</v>
      </c>
      <c r="J29" s="169">
        <v>0</v>
      </c>
      <c r="K29" s="147">
        <f t="shared" si="3"/>
        <v>0</v>
      </c>
      <c r="L29" s="169">
        <f t="shared" si="2"/>
        <v>2</v>
      </c>
    </row>
    <row r="30" spans="1:12" s="109" customFormat="1" ht="12.75">
      <c r="A30" s="182"/>
      <c r="B30" s="183"/>
      <c r="C30" s="125" t="s">
        <v>16</v>
      </c>
      <c r="D30" s="125" t="s">
        <v>16</v>
      </c>
      <c r="E30" s="125" t="s">
        <v>94</v>
      </c>
      <c r="F30" s="125" t="s">
        <v>16</v>
      </c>
      <c r="G30" s="125" t="s">
        <v>16</v>
      </c>
      <c r="H30" s="125" t="s">
        <v>94</v>
      </c>
      <c r="I30" s="125" t="s">
        <v>17</v>
      </c>
      <c r="J30" s="125" t="s">
        <v>16</v>
      </c>
      <c r="K30" s="125" t="s">
        <v>16</v>
      </c>
      <c r="L30" s="125" t="s">
        <v>16</v>
      </c>
    </row>
    <row r="31" spans="1:12" ht="12.75">
      <c r="A31" s="182"/>
      <c r="B31" s="142" t="s">
        <v>179</v>
      </c>
      <c r="C31" s="126">
        <f>SUM(C6:C29)</f>
        <v>2639</v>
      </c>
      <c r="D31" s="126">
        <f>SUM(D6:D29)</f>
        <v>2138</v>
      </c>
      <c r="E31" s="133">
        <f>D31/C31</f>
        <v>0.8101553618794998</v>
      </c>
      <c r="F31" s="184">
        <f>SUM(F4:F29)</f>
        <v>501</v>
      </c>
      <c r="G31" s="126">
        <f>SUM(G6:G29)</f>
        <v>666</v>
      </c>
      <c r="H31" s="126">
        <f aca="true" t="shared" si="4" ref="G31:L31">SUM(H6:H29)</f>
        <v>83</v>
      </c>
      <c r="I31" s="126">
        <f t="shared" si="4"/>
        <v>148</v>
      </c>
      <c r="J31" s="126">
        <f t="shared" si="4"/>
        <v>37</v>
      </c>
      <c r="K31" s="126">
        <f t="shared" si="4"/>
        <v>111</v>
      </c>
      <c r="L31" s="126">
        <f t="shared" si="4"/>
        <v>2924</v>
      </c>
    </row>
    <row r="32" spans="2:12" ht="12.75">
      <c r="B32" s="57"/>
      <c r="C32" s="57" t="s">
        <v>34</v>
      </c>
      <c r="D32" s="57"/>
      <c r="E32" s="65"/>
      <c r="F32" s="57" t="s">
        <v>34</v>
      </c>
      <c r="G32" s="180" t="s">
        <v>34</v>
      </c>
      <c r="H32" s="57"/>
      <c r="I32" s="57"/>
      <c r="J32" s="57"/>
      <c r="K32" s="57" t="s">
        <v>34</v>
      </c>
      <c r="L32" s="57"/>
    </row>
    <row r="33" spans="2:12" ht="12.75">
      <c r="B33" s="57"/>
      <c r="C33" s="53"/>
      <c r="D33" s="53"/>
      <c r="E33" s="65"/>
      <c r="F33" s="53"/>
      <c r="G33" s="181" t="s">
        <v>34</v>
      </c>
      <c r="H33" s="53"/>
      <c r="I33" s="53"/>
      <c r="J33" s="53"/>
      <c r="K33" s="53"/>
      <c r="L33" s="53"/>
    </row>
    <row r="34" spans="2:12" ht="12.75">
      <c r="B34" s="53"/>
      <c r="C34" s="53"/>
      <c r="D34" s="92" t="s">
        <v>622</v>
      </c>
      <c r="E34" s="65"/>
      <c r="F34" s="57"/>
      <c r="G34" s="57"/>
      <c r="H34" s="57"/>
      <c r="I34" s="57" t="s">
        <v>34</v>
      </c>
      <c r="J34" s="57"/>
      <c r="K34" s="57"/>
      <c r="L34" s="104"/>
    </row>
    <row r="35" spans="2:12" ht="12.75">
      <c r="B35" s="53"/>
      <c r="C35" s="53"/>
      <c r="D35" s="53"/>
      <c r="E35" s="65"/>
      <c r="F35" s="180" t="s">
        <v>34</v>
      </c>
      <c r="G35" s="57"/>
      <c r="H35" s="57"/>
      <c r="I35" s="57"/>
      <c r="J35" s="57"/>
      <c r="K35" s="57"/>
      <c r="L35" s="104"/>
    </row>
    <row r="36" spans="2:12" ht="12.75">
      <c r="B36" s="91" t="s">
        <v>18</v>
      </c>
      <c r="C36" s="53"/>
      <c r="D36" s="195">
        <f>C31</f>
        <v>2639</v>
      </c>
      <c r="E36" s="65"/>
      <c r="F36" s="57"/>
      <c r="G36" s="57"/>
      <c r="H36" s="101"/>
      <c r="I36" s="57"/>
      <c r="J36" s="57"/>
      <c r="K36" s="57"/>
      <c r="L36" s="104"/>
    </row>
    <row r="37" spans="2:12" ht="12.75">
      <c r="B37" s="75" t="s">
        <v>623</v>
      </c>
      <c r="C37" s="79"/>
      <c r="D37" s="195">
        <f>L31-SUM(D41:D42)-D38</f>
        <v>2138</v>
      </c>
      <c r="E37" s="57"/>
      <c r="F37" s="57"/>
      <c r="G37" s="57"/>
      <c r="H37" s="101"/>
      <c r="I37" s="57"/>
      <c r="J37" s="57"/>
      <c r="K37" s="57"/>
      <c r="L37" s="176"/>
    </row>
    <row r="38" spans="2:12" ht="12.75">
      <c r="B38" s="93" t="s">
        <v>19</v>
      </c>
      <c r="C38" s="53"/>
      <c r="D38" s="195">
        <f>H31</f>
        <v>83</v>
      </c>
      <c r="E38" s="57"/>
      <c r="F38" s="57"/>
      <c r="G38" s="57"/>
      <c r="H38" s="101"/>
      <c r="I38" s="57"/>
      <c r="J38" s="57"/>
      <c r="K38" s="57"/>
      <c r="L38" s="104"/>
    </row>
    <row r="39" spans="2:12" ht="12.75">
      <c r="B39" s="93" t="s">
        <v>20</v>
      </c>
      <c r="C39" s="57"/>
      <c r="D39" s="196">
        <f>D37/D36</f>
        <v>0.8101553618794998</v>
      </c>
      <c r="E39" s="57"/>
      <c r="F39" s="57"/>
      <c r="G39" s="57"/>
      <c r="H39" s="101"/>
      <c r="I39" s="57"/>
      <c r="J39" s="57"/>
      <c r="K39" s="57"/>
      <c r="L39" s="104"/>
    </row>
    <row r="40" spans="2:12" ht="12.75">
      <c r="B40" s="53"/>
      <c r="C40" s="57"/>
      <c r="D40" s="76"/>
      <c r="E40" s="57"/>
      <c r="F40" s="57"/>
      <c r="G40" s="57"/>
      <c r="H40" s="57"/>
      <c r="I40" s="57"/>
      <c r="J40" s="57"/>
      <c r="K40" s="57"/>
      <c r="L40" s="104"/>
    </row>
    <row r="41" spans="2:12" ht="12.75">
      <c r="B41" s="53" t="s">
        <v>22</v>
      </c>
      <c r="C41" s="57"/>
      <c r="D41" s="195">
        <f>G31</f>
        <v>666</v>
      </c>
      <c r="E41" s="57"/>
      <c r="F41" s="57"/>
      <c r="G41" s="57"/>
      <c r="H41" s="101"/>
      <c r="I41" s="57"/>
      <c r="J41" s="57"/>
      <c r="K41" s="57"/>
      <c r="L41" s="104"/>
    </row>
    <row r="42" spans="2:12" ht="12.75">
      <c r="B42" s="53" t="s">
        <v>23</v>
      </c>
      <c r="C42" s="57"/>
      <c r="D42" s="195">
        <f>J31</f>
        <v>37</v>
      </c>
      <c r="E42" s="57"/>
      <c r="F42" s="57"/>
      <c r="G42" s="57"/>
      <c r="H42" s="101"/>
      <c r="I42" s="57"/>
      <c r="J42" s="57"/>
      <c r="K42" s="57"/>
      <c r="L42" s="104"/>
    </row>
    <row r="43" spans="2:12" ht="12.75">
      <c r="B43" s="53"/>
      <c r="C43" s="57"/>
      <c r="D43" s="79"/>
      <c r="E43" s="57"/>
      <c r="F43" s="57"/>
      <c r="G43" s="57"/>
      <c r="H43" s="57"/>
      <c r="I43" s="57"/>
      <c r="J43" s="57"/>
      <c r="K43" s="57"/>
      <c r="L43" s="104"/>
    </row>
    <row r="44" spans="2:12" ht="12.75">
      <c r="B44" s="94" t="s">
        <v>146</v>
      </c>
      <c r="C44" s="57"/>
      <c r="D44" s="195">
        <f>D37+D38+D41+D42</f>
        <v>2924</v>
      </c>
      <c r="E44" s="57"/>
      <c r="F44" s="57"/>
      <c r="G44" s="57"/>
      <c r="H44" s="101"/>
      <c r="I44" s="57"/>
      <c r="J44" s="57"/>
      <c r="K44" s="57"/>
      <c r="L44" s="104"/>
    </row>
    <row r="47" ht="15">
      <c r="B47" s="211" t="s">
        <v>668</v>
      </c>
    </row>
    <row r="48" ht="12.75">
      <c r="B48" s="25"/>
    </row>
    <row r="53" spans="2:11" ht="12.75">
      <c r="B53" s="165"/>
      <c r="C53" s="165"/>
      <c r="D53" s="165"/>
      <c r="E53" s="165"/>
      <c r="F53" s="165"/>
      <c r="G53" s="165"/>
      <c r="H53" s="165"/>
      <c r="I53" s="165"/>
      <c r="J53" s="165"/>
      <c r="K53"/>
    </row>
    <row r="54" spans="2:11" ht="12.75">
      <c r="B54" s="165"/>
      <c r="C54" s="162"/>
      <c r="D54" s="162"/>
      <c r="E54" s="162"/>
      <c r="F54" s="206"/>
      <c r="G54" s="162"/>
      <c r="H54" s="162"/>
      <c r="I54" s="162"/>
      <c r="J54" s="162"/>
      <c r="K54"/>
    </row>
  </sheetData>
  <printOptions gridLines="1" horizontalCentered="1"/>
  <pageMargins left="0.25" right="0.26" top="0.65" bottom="0.32" header="0.38" footer="0.16"/>
  <pageSetup horizontalDpi="300" verticalDpi="300" orientation="portrait" scale="73" r:id="rId1"/>
  <headerFooter alignWithMargins="0">
    <oddHeader>&amp;C&amp;12Month Ending June 30, 2010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ASME</dc:creator>
  <cp:keywords/>
  <dc:description/>
  <cp:lastModifiedBy>frederickj</cp:lastModifiedBy>
  <cp:lastPrinted>2010-07-09T13:48:21Z</cp:lastPrinted>
  <dcterms:created xsi:type="dcterms:W3CDTF">1998-09-01T14:54:38Z</dcterms:created>
  <dcterms:modified xsi:type="dcterms:W3CDTF">2010-07-09T13:54:17Z</dcterms:modified>
  <cp:category/>
  <cp:version/>
  <cp:contentType/>
  <cp:contentStatus/>
</cp:coreProperties>
</file>